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0" windowWidth="19320" windowHeight="7695" activeTab="0"/>
  </bookViews>
  <sheets>
    <sheet name="цифры 2016-2020 гг - отчет" sheetId="1" r:id="rId1"/>
    <sheet name="промышленность" sheetId="2" r:id="rId2"/>
    <sheet name="промыш(с НовЭк)" sheetId="3" r:id="rId3"/>
    <sheet name="строительство" sheetId="4" r:id="rId4"/>
    <sheet name="инвест. с Нов.Эк" sheetId="5" r:id="rId5"/>
    <sheet name="насел., зар.пл." sheetId="6" r:id="rId6"/>
    <sheet name="МП" sheetId="7" r:id="rId7"/>
    <sheet name="выручка" sheetId="8" r:id="rId8"/>
    <sheet name="Прибыль" sheetId="9" r:id="rId9"/>
    <sheet name="предпр." sheetId="10" r:id="rId10"/>
    <sheet name="ОФ" sheetId="11" r:id="rId11"/>
    <sheet name="сельс.хоз-во" sheetId="12" r:id="rId12"/>
  </sheets>
  <definedNames>
    <definedName name="_xlnm.Print_Titles" localSheetId="0">'цифры 2016-2020 гг - отчет'!$3:$4</definedName>
    <definedName name="_xlnm.Print_Area" localSheetId="10">'ОФ'!$A$1:$R$9</definedName>
    <definedName name="_xlnm.Print_Area" localSheetId="2">'промыш(с НовЭк)'!$A$1:$L$22</definedName>
  </definedNames>
  <calcPr fullCalcOnLoad="1"/>
</workbook>
</file>

<file path=xl/sharedStrings.xml><?xml version="1.0" encoding="utf-8"?>
<sst xmlns="http://schemas.openxmlformats.org/spreadsheetml/2006/main" count="618" uniqueCount="206">
  <si>
    <t>Параметры прогноза в сопоставлении с ранее представленными параметрами</t>
  </si>
  <si>
    <t>Показатели  социально-экономического развития</t>
  </si>
  <si>
    <t>Ед.                 изм.</t>
  </si>
  <si>
    <t>Отклонение</t>
  </si>
  <si>
    <t>2016 г.</t>
  </si>
  <si>
    <t>2017 г.</t>
  </si>
  <si>
    <t>отчет</t>
  </si>
  <si>
    <t>оценка</t>
  </si>
  <si>
    <r>
      <t xml:space="preserve">прогноз </t>
    </r>
    <r>
      <rPr>
        <sz val="7"/>
        <rFont val="Times New Roman"/>
        <family val="1"/>
      </rPr>
      <t>уточненный</t>
    </r>
  </si>
  <si>
    <t>прогноз</t>
  </si>
  <si>
    <t>Промышленное производство</t>
  </si>
  <si>
    <t>Объем промышленного производства</t>
  </si>
  <si>
    <t>млн. руб.</t>
  </si>
  <si>
    <t>индекс физического объема</t>
  </si>
  <si>
    <t>%</t>
  </si>
  <si>
    <t>Строительство и инвестиции</t>
  </si>
  <si>
    <t>Объем строительных работ</t>
  </si>
  <si>
    <t>Инвестиции в основной капитал за счет всех источников финансирования</t>
  </si>
  <si>
    <t>Население и занятость</t>
  </si>
  <si>
    <t>Численность населения на конец года</t>
  </si>
  <si>
    <t>тыс. чел.</t>
  </si>
  <si>
    <t>Численность занятых в экономике города в среднегодовом исчислении</t>
  </si>
  <si>
    <t>Оплата труда</t>
  </si>
  <si>
    <t>Фонд оплаты труда</t>
  </si>
  <si>
    <t>темп роста</t>
  </si>
  <si>
    <t>Среднемесячная номинальная заработная плата 1 работника</t>
  </si>
  <si>
    <t>руб.</t>
  </si>
  <si>
    <t>Малое предпринимательство</t>
  </si>
  <si>
    <t>Численность занятых в «малых» предприятиях в среднегодовом исчислении</t>
  </si>
  <si>
    <t>доля «малых» предприятий в занятости на предприятиях и организациях города</t>
  </si>
  <si>
    <t>Выручка «малых» предприятий от реализации товаров, продукции, работ, услуг</t>
  </si>
  <si>
    <t>доля «малых» предприятий в выручке предприятий и организаций города</t>
  </si>
  <si>
    <t>Выручка  от реализации товаров, продукции, работ, услуг</t>
  </si>
  <si>
    <t>Выручка предприятий и организаций от реализации товаров, продукции, работ, услуг</t>
  </si>
  <si>
    <t>Прибыль до налогообложения прибыльных  организаций</t>
  </si>
  <si>
    <t>Прибыль прибыльных организаций</t>
  </si>
  <si>
    <t>Предприятия и организации</t>
  </si>
  <si>
    <t>Количество зарегистрированных предприятий и организаций</t>
  </si>
  <si>
    <t>ед.</t>
  </si>
  <si>
    <t>Количество предприятий и организаций, осуществляющих деятельность</t>
  </si>
  <si>
    <t xml:space="preserve"> Основные средства по крупным и средним организациям</t>
  </si>
  <si>
    <t>Основные средства по остаточной стоимости организаций, на конец года</t>
  </si>
  <si>
    <t>Показатель</t>
  </si>
  <si>
    <t>Ед. измер.</t>
  </si>
  <si>
    <t xml:space="preserve">Всего по полному кругу организаций </t>
  </si>
  <si>
    <t>2018 г. прогноз</t>
  </si>
  <si>
    <t>тыс.руб.</t>
  </si>
  <si>
    <t>в том числе</t>
  </si>
  <si>
    <t>добывающие производства</t>
  </si>
  <si>
    <t>обрабатывающие производства</t>
  </si>
  <si>
    <t xml:space="preserve">Объем отгруженной продукции по малым предприятиям                    </t>
  </si>
  <si>
    <t>Индекс промышленного производства по малым  предприятиям</t>
  </si>
  <si>
    <t>Финансовые результаты организаций в промышленности</t>
  </si>
  <si>
    <t>Выручка от реализации товаров, продукции, работ, услуг (без НДС, акцизов и прочих аналогичных платежей)</t>
  </si>
  <si>
    <t>Прибыль (убыток) - всего</t>
  </si>
  <si>
    <t>Объем прибыли по прибыльным организациям</t>
  </si>
  <si>
    <t>Объем убытков по убыточным организациям</t>
  </si>
  <si>
    <t xml:space="preserve">В том числе по крупным и средним организациям  </t>
  </si>
  <si>
    <t>Количество крупных и средних предприятий</t>
  </si>
  <si>
    <t>-</t>
  </si>
  <si>
    <t>Объем работ, выполненных по виду деятельности     "Строительство"</t>
  </si>
  <si>
    <t>из них: выполненных на территории других МО</t>
  </si>
  <si>
    <t>Из них за счет:</t>
  </si>
  <si>
    <t xml:space="preserve">  Собственных средств организаций</t>
  </si>
  <si>
    <t xml:space="preserve">  Бюджетных средств</t>
  </si>
  <si>
    <t xml:space="preserve">  Прочих источников</t>
  </si>
  <si>
    <t xml:space="preserve">      в том числе средства населения на ИЖС</t>
  </si>
  <si>
    <t>Развитие отраслей социальной сферы</t>
  </si>
  <si>
    <t>Ввод в эксплуатацию жилья, всего</t>
  </si>
  <si>
    <t>кв.м.</t>
  </si>
  <si>
    <t>Из них за счет средств индивидуальных застройщиков</t>
  </si>
  <si>
    <t>Ввод в эксплуатацию дошкольных образовательных учреждений</t>
  </si>
  <si>
    <t>мест</t>
  </si>
  <si>
    <t>Ввод в эксплуатацию учреждений общего образования</t>
  </si>
  <si>
    <t>Ввод в эксплуатацию больниц</t>
  </si>
  <si>
    <t>Ввод в эксплуатацию амбулаторно-поликлинических учреждений</t>
  </si>
  <si>
    <t>в т.ч. дети до 18 лет</t>
  </si>
  <si>
    <t>Численность работающих в среднегодовом исчислении</t>
  </si>
  <si>
    <t>Среднемесячная заработная плата на 1 работника</t>
  </si>
  <si>
    <t>рублей</t>
  </si>
  <si>
    <t>Показатели</t>
  </si>
  <si>
    <t>Ед.     изм.</t>
  </si>
  <si>
    <t xml:space="preserve"> Количество малых предприятий на конец года</t>
  </si>
  <si>
    <t>Среднесписочная численность работников (без внешних совместителей)</t>
  </si>
  <si>
    <t>чел.</t>
  </si>
  <si>
    <t xml:space="preserve">тыс. руб. </t>
  </si>
  <si>
    <t>в том числе по видам экономической деятельности (ОКВЭД):</t>
  </si>
  <si>
    <t>из них:</t>
  </si>
  <si>
    <t>строительство (F)</t>
  </si>
  <si>
    <t>прочие виды деятельности</t>
  </si>
  <si>
    <t>Выручка от продажи товаров, работ и услуг (без НДС)</t>
  </si>
  <si>
    <t xml:space="preserve">                                            к предыдущему году в сопоставимых ценах</t>
  </si>
  <si>
    <t>Инвестиции в основной капитал</t>
  </si>
  <si>
    <t xml:space="preserve">                                        к предыдущему году в сопоставимых ценах</t>
  </si>
  <si>
    <t xml:space="preserve"> Фонд начисленной заработной платы</t>
  </si>
  <si>
    <t>тыс. руб.</t>
  </si>
  <si>
    <t>Выручка от реализации товаров, продукции, работ, услуг (без НДС, акцизов и прочих аналогичных платежей) - всего</t>
  </si>
  <si>
    <t>млн.руб.</t>
  </si>
  <si>
    <t>Сельскохозяйственное производство (разделы А, В ОКВЭД)</t>
  </si>
  <si>
    <t>Промышленное производство (разделы С, D, Е ОКВЭД)</t>
  </si>
  <si>
    <t>Строительство (раздел F ОКВЭД)</t>
  </si>
  <si>
    <t>Оптовая и розничная торговля, ремонт (раздел G ОКВЭД)</t>
  </si>
  <si>
    <t>Транспорт и связь (раздел I ОКВЭД)</t>
  </si>
  <si>
    <t>Операции с недвижимым имуществом, аренда и представление услуг (раздел К ОКВЭД)</t>
  </si>
  <si>
    <t>Предоставление прочих коммунальных, социальных и персональных услуг (раздел О ОКВЭД)</t>
  </si>
  <si>
    <t>№ п/п</t>
  </si>
  <si>
    <t>Единица измерения</t>
  </si>
  <si>
    <t>Всего (по полному кругу)</t>
  </si>
  <si>
    <t>крупные и средние</t>
  </si>
  <si>
    <t xml:space="preserve">Количество зарегистрированных предприятий и организаций  </t>
  </si>
  <si>
    <t>в том числе осуществляющих деятельность-всего</t>
  </si>
  <si>
    <t>Финансовая деятельность (раздел J ОКВЭД)</t>
  </si>
  <si>
    <t>Государственное управление (раздел L ОКВЭД)</t>
  </si>
  <si>
    <t>Образование (раздел М ОКВЭД)</t>
  </si>
  <si>
    <t>Здравоохранение (раздел N ОКВЭД)</t>
  </si>
  <si>
    <t>Прочие виды экономической деятельности</t>
  </si>
  <si>
    <t xml:space="preserve">из них: </t>
  </si>
  <si>
    <t>Прочие виды экономической деятельности (H)</t>
  </si>
  <si>
    <t>Основные фонды</t>
  </si>
  <si>
    <t>Инвестиции</t>
  </si>
  <si>
    <t>Строительство</t>
  </si>
  <si>
    <t>Валовая продукция сельского хозяйства во всех категориях хозяйств</t>
  </si>
  <si>
    <t>Валовая продукция сельского хозяйства в сельскохозяйственных  организациях</t>
  </si>
  <si>
    <t>Численность работающих в сельскохозяйственных организациях</t>
  </si>
  <si>
    <t>Фонд оплаты труда в в сельскохозяйственных организациях</t>
  </si>
  <si>
    <t xml:space="preserve">Среднемесячная заработная плата на 1 работника </t>
  </si>
  <si>
    <t xml:space="preserve">Финансовые результаты деятельности сельскохозяйственных организаций </t>
  </si>
  <si>
    <t>Себестоимость проданных товаров, продукции (работ, услуг)</t>
  </si>
  <si>
    <t xml:space="preserve">Прибыль (убыток) от продаж </t>
  </si>
  <si>
    <t>Прибыль (убыток) от прочих операций (прочие доходы и расходы)</t>
  </si>
  <si>
    <t xml:space="preserve">в том числе субсидии из бюджетов </t>
  </si>
  <si>
    <t>Прибыль (убыток) до налогообложения</t>
  </si>
  <si>
    <t xml:space="preserve">в том числе по организациям перешедшим на уплату единого сельскохозяйственного налога </t>
  </si>
  <si>
    <t>Количество прибыльных организаций</t>
  </si>
  <si>
    <t>Количество убыточных организаций</t>
  </si>
  <si>
    <t xml:space="preserve">в т.ч. по организациям "Новой экономики" </t>
  </si>
  <si>
    <t>2019 г. прогноз</t>
  </si>
  <si>
    <t>Предприятия "Новой экономики":</t>
  </si>
  <si>
    <t>ООО НПП "РАДИКО"</t>
  </si>
  <si>
    <t>ООО «Лотте КФ Рус Калуга»</t>
  </si>
  <si>
    <t>ООО "НИАРМЕДИК ФАРМА"</t>
  </si>
  <si>
    <t xml:space="preserve">ООО "ПАЛЛАДИО ОБНИНСК" </t>
  </si>
  <si>
    <t>ООО "Хемофарм"</t>
  </si>
  <si>
    <t>ООО  "РУУККИ РУС"</t>
  </si>
  <si>
    <t>ЗАО "Крафтвэй корпорэйшн ПЛС"</t>
  </si>
  <si>
    <t>ООО "Санатметал СНГ"</t>
  </si>
  <si>
    <t>прочие организации</t>
  </si>
  <si>
    <t>1.</t>
  </si>
  <si>
    <t>х</t>
  </si>
  <si>
    <t>2.</t>
  </si>
  <si>
    <t>3.</t>
  </si>
  <si>
    <t>Выручка</t>
  </si>
  <si>
    <t>Финансовые результаты предприятий и организаций - прибыль прибыльных организаций</t>
  </si>
  <si>
    <t>Сельскохозяйственное производство</t>
  </si>
  <si>
    <r>
      <t xml:space="preserve">Всего по полному кругу организаций </t>
    </r>
    <r>
      <rPr>
        <b/>
        <sz val="10"/>
        <color indexed="62"/>
        <rFont val="Arial Cyr"/>
        <family val="0"/>
      </rPr>
      <t>*</t>
    </r>
  </si>
  <si>
    <t>*  расчетные цифры по объемам производства сельскохозяйственной продукции в личных подсобных хозяйствах граждан, на садово-огороднических участках</t>
  </si>
  <si>
    <t>в том числе средства населения на ИЖС</t>
  </si>
  <si>
    <t>2018 г.</t>
  </si>
  <si>
    <t>отчет к оценке</t>
  </si>
  <si>
    <t>2019 г.</t>
  </si>
  <si>
    <t>оценка к прогнозу уточненному</t>
  </si>
  <si>
    <t>2016 г. отчет</t>
  </si>
  <si>
    <t>2017 г. оценка</t>
  </si>
  <si>
    <t>2020 г. прогноз</t>
  </si>
  <si>
    <t>Объем отгруженной продукции (без НДС и акцизов) всего по разделам B, С, D, E  ОКВЭД</t>
  </si>
  <si>
    <t>обеспечение электрической энергией, газом и паром, водоснабжение, организация сбора и утилизации отходов</t>
  </si>
  <si>
    <t xml:space="preserve">Индекс промышленного производства                                                                                           всего по раделам B, С, D, E  ОКВЭД </t>
  </si>
  <si>
    <t>2016 г. - кр., с 2017 г. - малое</t>
  </si>
  <si>
    <t>кр.</t>
  </si>
  <si>
    <t>малое</t>
  </si>
  <si>
    <t>ООО "Технология питания"</t>
  </si>
  <si>
    <t>ООО "Торговый Дом ЛТМ"</t>
  </si>
  <si>
    <t>ООО "ПО "Металлист"</t>
  </si>
  <si>
    <t>2016 г.    отчет</t>
  </si>
  <si>
    <t>2018 г.  прогноз</t>
  </si>
  <si>
    <t>2019 г.          прогноз</t>
  </si>
  <si>
    <t>2020 г.      прогноз</t>
  </si>
  <si>
    <t>2016 г.                                  отчет</t>
  </si>
  <si>
    <t>2018 г.  прогноз</t>
  </si>
  <si>
    <t>Фонд оплаты труда, всего</t>
  </si>
  <si>
    <t>2019 г.  прогноз</t>
  </si>
  <si>
    <t>2020 г.  прогноз</t>
  </si>
  <si>
    <t>2020 г.</t>
  </si>
  <si>
    <r>
      <t xml:space="preserve">                                                             из них </t>
    </r>
    <r>
      <rPr>
        <b/>
        <sz val="11"/>
        <rFont val="Times New Roman"/>
        <family val="1"/>
      </rPr>
      <t>действующих</t>
    </r>
    <r>
      <rPr>
        <sz val="11"/>
        <rFont val="Times New Roman"/>
        <family val="1"/>
      </rPr>
      <t xml:space="preserve"> </t>
    </r>
  </si>
  <si>
    <t>сельское, лесное хозяйство, охота, рыболовство и рыбоводство  (А)</t>
  </si>
  <si>
    <t>промышленное производство (разделы B,С, D, E)</t>
  </si>
  <si>
    <t>добыча полезных ископаемых (B)</t>
  </si>
  <si>
    <t>обрабатывающие производства (C)</t>
  </si>
  <si>
    <t>водоснабжение; водоотведение, организация сбора и утилизации отходов, деятельность по ликвидации загрязнений (E)</t>
  </si>
  <si>
    <t>торговля оптовая и розничная, ремонт автотранспортных средств (G)</t>
  </si>
  <si>
    <t>транспортировка и хранение (Н)</t>
  </si>
  <si>
    <t>деятельность по операциям с недвижимым имуществом (L)</t>
  </si>
  <si>
    <t>обеспечение электрической энергией, газом и паром;   кондиционирование воздуха (D)</t>
  </si>
  <si>
    <t>малые организации</t>
  </si>
  <si>
    <t xml:space="preserve">резиденты индустриальных парков </t>
  </si>
  <si>
    <r>
      <t xml:space="preserve">Прибыль до налогообложения прибыльных организаций </t>
    </r>
    <r>
      <rPr>
        <sz val="10"/>
        <rFont val="Arial"/>
        <family val="2"/>
      </rPr>
      <t>по данным бухгалтерского учета</t>
    </r>
  </si>
  <si>
    <t>Единица изме рения</t>
  </si>
  <si>
    <r>
      <t xml:space="preserve">коммерческие </t>
    </r>
    <r>
      <rPr>
        <sz val="10"/>
        <rFont val="Arial"/>
        <family val="2"/>
      </rPr>
      <t xml:space="preserve">(отчет - по форме статистического наблюдения  N 11 "Сведения о наличии и движении основных фондов (средств) и других нефинансовых активов" </t>
    </r>
  </si>
  <si>
    <r>
      <t xml:space="preserve">некоммерческие </t>
    </r>
    <r>
      <rPr>
        <sz val="10"/>
        <rFont val="Arial"/>
        <family val="2"/>
      </rPr>
      <t>(отчет - по форме статистического наблюдения  N 11 (краткая) "Сведения о наличии и движении основных фондов (средств) некоммерческих организаций")</t>
    </r>
  </si>
  <si>
    <r>
      <t xml:space="preserve">Наличие основных фондов  </t>
    </r>
    <r>
      <rPr>
        <u val="single"/>
        <sz val="12"/>
        <rFont val="Arial"/>
        <family val="2"/>
      </rPr>
      <t xml:space="preserve">на конец года </t>
    </r>
    <r>
      <rPr>
        <sz val="12"/>
        <rFont val="Arial"/>
        <family val="2"/>
      </rPr>
      <t xml:space="preserve">по </t>
    </r>
    <r>
      <rPr>
        <b/>
        <sz val="12"/>
        <rFont val="Arial"/>
        <family val="2"/>
      </rPr>
      <t xml:space="preserve">остаточной </t>
    </r>
    <r>
      <rPr>
        <sz val="12"/>
        <rFont val="Arial"/>
        <family val="2"/>
      </rPr>
      <t xml:space="preserve">балансовой стоимости </t>
    </r>
  </si>
  <si>
    <t>1.1.</t>
  </si>
  <si>
    <r>
      <t>Увеличение полной учетной стоимости основных фондов за отчетный год за счет создания новой стоимости (</t>
    </r>
    <r>
      <rPr>
        <b/>
        <sz val="12"/>
        <rFont val="Arial"/>
        <family val="2"/>
      </rPr>
      <t xml:space="preserve">ввода в действие новых объектов </t>
    </r>
    <r>
      <rPr>
        <sz val="12"/>
        <rFont val="Arial"/>
        <family val="2"/>
      </rPr>
      <t xml:space="preserve">основных фондов,  </t>
    </r>
    <r>
      <rPr>
        <b/>
        <sz val="12"/>
        <rFont val="Arial"/>
        <family val="2"/>
      </rPr>
      <t>модернизации, реконструкции)</t>
    </r>
  </si>
  <si>
    <r>
      <rPr>
        <b/>
        <sz val="12"/>
        <rFont val="Arial"/>
        <family val="2"/>
      </rPr>
      <t xml:space="preserve">Наличие </t>
    </r>
    <r>
      <rPr>
        <sz val="12"/>
        <rFont val="Arial"/>
        <family val="2"/>
      </rPr>
      <t xml:space="preserve">основных фондов на конец года </t>
    </r>
    <r>
      <rPr>
        <b/>
        <sz val="12"/>
        <rFont val="Arial"/>
        <family val="2"/>
      </rPr>
      <t>по полной</t>
    </r>
    <r>
      <rPr>
        <sz val="12"/>
        <rFont val="Arial"/>
        <family val="2"/>
      </rPr>
      <t xml:space="preserve"> учетной стоимости</t>
    </r>
  </si>
  <si>
    <t>в том числе по резидентам индустриальных парков и технопарков</t>
  </si>
  <si>
    <r>
      <t xml:space="preserve">Всего                                                                                                                                                              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(крупные и средние коммерческие и некоммерческие организации)</t>
    </r>
  </si>
  <si>
    <t>прогноз уточненный   к прогнозу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</si>
</sst>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"/>
    <numFmt numFmtId="166" formatCode="#,##0.0"/>
    <numFmt numFmtId="167" formatCode="#,##0.000"/>
    <numFmt numFmtId="168" formatCode="#,##0.0000"/>
    <numFmt numFmtId="169" formatCode="_-* #,##0.000_р_._-;\-* #,##0.000_р_._-;_-* &quot;-&quot;??_р_._-;_-@_-"/>
    <numFmt numFmtId="170" formatCode="0.000"/>
    <numFmt numFmtId="171" formatCode="0.0000000"/>
    <numFmt numFmtId="172" formatCode="0.000000"/>
    <numFmt numFmtId="173" formatCode="0.00000"/>
    <numFmt numFmtId="174" formatCode="0.0000"/>
  </numFmts>
  <fonts count="67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10"/>
      <name val="Arial Cyr"/>
      <family val="2"/>
    </font>
    <font>
      <b/>
      <sz val="11"/>
      <name val="Arial Cyr"/>
      <family val="2"/>
    </font>
    <font>
      <b/>
      <sz val="11"/>
      <color indexed="62"/>
      <name val="Arial Cyr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color indexed="24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i/>
      <sz val="11"/>
      <color indexed="61"/>
      <name val="Arial Cyr"/>
      <family val="2"/>
    </font>
    <font>
      <sz val="9"/>
      <name val="Arial Cyr"/>
      <family val="2"/>
    </font>
    <font>
      <i/>
      <sz val="11"/>
      <name val="Times New Roman"/>
      <family val="1"/>
    </font>
    <font>
      <i/>
      <sz val="10"/>
      <name val="Arial Cyr"/>
      <family val="2"/>
    </font>
    <font>
      <i/>
      <sz val="10"/>
      <color indexed="24"/>
      <name val="Arial Cyr"/>
      <family val="0"/>
    </font>
    <font>
      <sz val="9"/>
      <color indexed="24"/>
      <name val="Arial Cyr"/>
      <family val="0"/>
    </font>
    <font>
      <i/>
      <sz val="9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0"/>
      <name val="Times New Roman CYR"/>
      <family val="0"/>
    </font>
    <font>
      <u val="single"/>
      <sz val="10"/>
      <color indexed="12"/>
      <name val="Arial Cyr"/>
      <family val="0"/>
    </font>
    <font>
      <b/>
      <sz val="10"/>
      <color indexed="62"/>
      <name val="Arial Cyr"/>
      <family val="0"/>
    </font>
    <font>
      <i/>
      <sz val="8"/>
      <name val="Arial"/>
      <family val="2"/>
    </font>
    <font>
      <b/>
      <i/>
      <sz val="10"/>
      <name val="Arial Cyr"/>
      <family val="2"/>
    </font>
    <font>
      <b/>
      <sz val="9"/>
      <name val="Arial Cyr"/>
      <family val="2"/>
    </font>
    <font>
      <b/>
      <i/>
      <sz val="9"/>
      <name val="Arial Cyr"/>
      <family val="2"/>
    </font>
    <font>
      <i/>
      <sz val="9"/>
      <name val="Times New Roman"/>
      <family val="1"/>
    </font>
    <font>
      <i/>
      <sz val="9"/>
      <name val="Arial Cyr"/>
      <family val="2"/>
    </font>
    <font>
      <sz val="9.5"/>
      <name val="Arial Cyr"/>
      <family val="2"/>
    </font>
    <font>
      <sz val="10"/>
      <color indexed="8"/>
      <name val="Arial Cyr"/>
      <family val="2"/>
    </font>
    <font>
      <b/>
      <i/>
      <sz val="11"/>
      <color indexed="18"/>
      <name val="Arial Cyr"/>
      <family val="2"/>
    </font>
    <font>
      <sz val="11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u val="single"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2"/>
      <name val="Times New Roman"/>
      <family val="1"/>
    </font>
    <font>
      <sz val="10"/>
      <color indexed="12"/>
      <name val="Arial Cyr"/>
      <family val="2"/>
    </font>
    <font>
      <sz val="9"/>
      <color indexed="12"/>
      <name val="Arial"/>
      <family val="2"/>
    </font>
    <font>
      <b/>
      <sz val="12"/>
      <color indexed="10"/>
      <name val="Arial Cyr"/>
      <family val="0"/>
    </font>
    <font>
      <b/>
      <sz val="12"/>
      <color indexed="12"/>
      <name val="Arial Cyr"/>
      <family val="0"/>
    </font>
    <font>
      <b/>
      <sz val="12"/>
      <color indexed="14"/>
      <name val="Arial Cyr"/>
      <family val="0"/>
    </font>
    <font>
      <b/>
      <sz val="9"/>
      <color indexed="49"/>
      <name val="Arial Cyr"/>
      <family val="0"/>
    </font>
    <font>
      <b/>
      <sz val="10"/>
      <color indexed="49"/>
      <name val="Arial Cyr"/>
      <family val="0"/>
    </font>
    <font>
      <b/>
      <sz val="12"/>
      <color indexed="3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 style="medium">
        <color indexed="21"/>
      </left>
      <right style="thin">
        <color indexed="21"/>
      </right>
      <top>
        <color indexed="63"/>
      </top>
      <bottom style="thin">
        <color indexed="21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 style="thin">
        <color indexed="21"/>
      </right>
      <top>
        <color indexed="63"/>
      </top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>
        <color indexed="63"/>
      </bottom>
    </border>
    <border>
      <left style="thin">
        <color indexed="21"/>
      </left>
      <right>
        <color indexed="63"/>
      </right>
      <top style="thin">
        <color indexed="21"/>
      </top>
      <bottom>
        <color indexed="63"/>
      </bottom>
    </border>
    <border>
      <left>
        <color indexed="63"/>
      </left>
      <right>
        <color indexed="63"/>
      </right>
      <top style="thin">
        <color indexed="21"/>
      </top>
      <bottom>
        <color indexed="63"/>
      </bottom>
    </border>
    <border>
      <left>
        <color indexed="63"/>
      </left>
      <right style="thin">
        <color indexed="21"/>
      </right>
      <top style="thin">
        <color indexed="21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18" fillId="0" borderId="0" applyProtection="0">
      <alignment/>
    </xf>
    <xf numFmtId="0" fontId="19" fillId="0" borderId="0" applyProtection="0">
      <alignment/>
    </xf>
    <xf numFmtId="0" fontId="11" fillId="0" borderId="0" applyNumberFormat="0" applyBorder="0" applyAlignment="0" applyProtection="0"/>
    <xf numFmtId="0" fontId="11" fillId="0" borderId="0" applyNumberFormat="0" applyBorder="0" applyProtection="0">
      <alignment horizontal="center"/>
    </xf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9" borderId="0" applyNumberFormat="0" applyBorder="0" applyAlignment="0" applyProtection="0"/>
    <xf numFmtId="0" fontId="42" fillId="7" borderId="1" applyNumberFormat="0" applyAlignment="0" applyProtection="0"/>
    <xf numFmtId="0" fontId="43" fillId="20" borderId="2" applyNumberFormat="0" applyAlignment="0" applyProtection="0"/>
    <xf numFmtId="0" fontId="44" fillId="20" borderId="1" applyNumberFormat="0" applyAlignment="0" applyProtection="0"/>
    <xf numFmtId="0" fontId="2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1" borderId="7" applyNumberFormat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11" fillId="0" borderId="0">
      <alignment/>
      <protection/>
    </xf>
    <xf numFmtId="0" fontId="5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7" fillId="4" borderId="0" applyNumberFormat="0" applyBorder="0" applyAlignment="0" applyProtection="0"/>
  </cellStyleXfs>
  <cellXfs count="245">
    <xf numFmtId="0" fontId="0" fillId="0" borderId="0" xfId="0" applyAlignment="1">
      <alignment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 vertical="top"/>
    </xf>
    <xf numFmtId="0" fontId="2" fillId="0" borderId="0" xfId="0" applyFont="1" applyFill="1" applyBorder="1" applyAlignment="1">
      <alignment vertical="top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top"/>
    </xf>
    <xf numFmtId="0" fontId="3" fillId="10" borderId="10" xfId="0" applyFont="1" applyFill="1" applyBorder="1" applyAlignment="1">
      <alignment horizontal="center" vertical="center" wrapText="1"/>
    </xf>
    <xf numFmtId="0" fontId="4" fillId="10" borderId="10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vertical="top"/>
    </xf>
    <xf numFmtId="0" fontId="4" fillId="0" borderId="11" xfId="0" applyFont="1" applyBorder="1" applyAlignment="1">
      <alignment horizontal="center" vertical="center" wrapText="1"/>
    </xf>
    <xf numFmtId="0" fontId="4" fillId="10" borderId="11" xfId="0" applyFont="1" applyFill="1" applyBorder="1" applyAlignment="1">
      <alignment horizontal="center" vertical="center" wrapText="1"/>
    </xf>
    <xf numFmtId="164" fontId="4" fillId="0" borderId="12" xfId="0" applyNumberFormat="1" applyFont="1" applyBorder="1" applyAlignment="1">
      <alignment vertical="center"/>
    </xf>
    <xf numFmtId="166" fontId="4" fillId="0" borderId="12" xfId="0" applyNumberFormat="1" applyFont="1" applyBorder="1" applyAlignment="1">
      <alignment vertical="center"/>
    </xf>
    <xf numFmtId="0" fontId="3" fillId="10" borderId="13" xfId="0" applyFont="1" applyFill="1" applyBorder="1" applyAlignment="1">
      <alignment horizontal="center" vertical="center" wrapText="1"/>
    </xf>
    <xf numFmtId="0" fontId="4" fillId="10" borderId="13" xfId="0" applyFont="1" applyFill="1" applyBorder="1" applyAlignment="1">
      <alignment horizontal="center" vertical="top" wrapText="1"/>
    </xf>
    <xf numFmtId="3" fontId="4" fillId="10" borderId="13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vertical="center"/>
    </xf>
    <xf numFmtId="0" fontId="9" fillId="0" borderId="14" xfId="0" applyFont="1" applyBorder="1" applyAlignment="1">
      <alignment wrapText="1"/>
    </xf>
    <xf numFmtId="0" fontId="10" fillId="0" borderId="14" xfId="0" applyFont="1" applyBorder="1" applyAlignment="1">
      <alignment horizontal="center" wrapText="1"/>
    </xf>
    <xf numFmtId="3" fontId="0" fillId="0" borderId="14" xfId="63" applyNumberFormat="1" applyFont="1" applyFill="1" applyBorder="1" applyAlignment="1">
      <alignment vertical="center"/>
      <protection/>
    </xf>
    <xf numFmtId="0" fontId="12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wrapText="1"/>
    </xf>
    <xf numFmtId="166" fontId="0" fillId="0" borderId="14" xfId="0" applyNumberFormat="1" applyFont="1" applyFill="1" applyBorder="1" applyAlignment="1">
      <alignment horizontal="right" vertical="center" wrapText="1"/>
    </xf>
    <xf numFmtId="0" fontId="13" fillId="0" borderId="14" xfId="0" applyFont="1" applyBorder="1" applyAlignment="1">
      <alignment wrapText="1"/>
    </xf>
    <xf numFmtId="3" fontId="0" fillId="0" borderId="14" xfId="0" applyNumberFormat="1" applyFont="1" applyBorder="1" applyAlignment="1">
      <alignment vertical="center" wrapText="1"/>
    </xf>
    <xf numFmtId="3" fontId="15" fillId="0" borderId="14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vertical="center"/>
    </xf>
    <xf numFmtId="0" fontId="16" fillId="0" borderId="0" xfId="0" applyFont="1" applyFill="1" applyBorder="1" applyAlignment="1">
      <alignment vertical="center" wrapText="1"/>
    </xf>
    <xf numFmtId="0" fontId="12" fillId="0" borderId="14" xfId="0" applyFont="1" applyFill="1" applyBorder="1" applyAlignment="1">
      <alignment horizontal="center" wrapText="1"/>
    </xf>
    <xf numFmtId="0" fontId="10" fillId="0" borderId="14" xfId="0" applyFont="1" applyFill="1" applyBorder="1" applyAlignment="1">
      <alignment horizontal="center" wrapText="1"/>
    </xf>
    <xf numFmtId="3" fontId="0" fillId="0" borderId="14" xfId="0" applyNumberFormat="1" applyFont="1" applyFill="1" applyBorder="1" applyAlignment="1">
      <alignment vertical="center"/>
    </xf>
    <xf numFmtId="3" fontId="0" fillId="0" borderId="14" xfId="0" applyNumberFormat="1" applyFont="1" applyFill="1" applyBorder="1" applyAlignment="1">
      <alignment vertical="center" wrapText="1"/>
    </xf>
    <xf numFmtId="3" fontId="15" fillId="0" borderId="14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vertical="center"/>
    </xf>
    <xf numFmtId="0" fontId="10" fillId="0" borderId="14" xfId="0" applyFont="1" applyBorder="1" applyAlignment="1">
      <alignment wrapText="1"/>
    </xf>
    <xf numFmtId="3" fontId="15" fillId="0" borderId="14" xfId="63" applyNumberFormat="1" applyFont="1" applyFill="1" applyBorder="1" applyAlignment="1">
      <alignment vertical="center"/>
      <protection/>
    </xf>
    <xf numFmtId="0" fontId="20" fillId="0" borderId="14" xfId="0" applyFont="1" applyBorder="1" applyAlignment="1">
      <alignment horizontal="left" wrapText="1"/>
    </xf>
    <xf numFmtId="0" fontId="12" fillId="0" borderId="14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wrapText="1"/>
    </xf>
    <xf numFmtId="166" fontId="15" fillId="0" borderId="14" xfId="0" applyNumberFormat="1" applyFont="1" applyFill="1" applyBorder="1" applyAlignment="1">
      <alignment horizontal="right" vertical="center" wrapText="1"/>
    </xf>
    <xf numFmtId="3" fontId="15" fillId="0" borderId="14" xfId="0" applyNumberFormat="1" applyFont="1" applyBorder="1" applyAlignment="1">
      <alignment vertical="center" wrapText="1"/>
    </xf>
    <xf numFmtId="0" fontId="15" fillId="0" borderId="0" xfId="0" applyFont="1" applyAlignment="1">
      <alignment/>
    </xf>
    <xf numFmtId="0" fontId="12" fillId="0" borderId="14" xfId="0" applyFont="1" applyFill="1" applyBorder="1" applyAlignment="1">
      <alignment wrapText="1"/>
    </xf>
    <xf numFmtId="0" fontId="12" fillId="0" borderId="14" xfId="0" applyFont="1" applyFill="1" applyBorder="1" applyAlignment="1">
      <alignment horizontal="left" vertical="center" wrapText="1"/>
    </xf>
    <xf numFmtId="3" fontId="15" fillId="0" borderId="14" xfId="0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3" fontId="0" fillId="0" borderId="14" xfId="63" applyNumberFormat="1" applyFont="1" applyBorder="1" applyAlignment="1">
      <alignment vertical="center"/>
      <protection/>
    </xf>
    <xf numFmtId="166" fontId="0" fillId="0" borderId="14" xfId="63" applyNumberFormat="1" applyFont="1" applyBorder="1" applyAlignment="1">
      <alignment vertical="center"/>
      <protection/>
    </xf>
    <xf numFmtId="3" fontId="0" fillId="0" borderId="14" xfId="0" applyNumberFormat="1" applyFont="1" applyBorder="1" applyAlignment="1">
      <alignment vertical="center"/>
    </xf>
    <xf numFmtId="167" fontId="0" fillId="0" borderId="14" xfId="0" applyNumberFormat="1" applyFont="1" applyFill="1" applyBorder="1" applyAlignment="1">
      <alignment vertical="center"/>
    </xf>
    <xf numFmtId="3" fontId="0" fillId="0" borderId="14" xfId="0" applyNumberFormat="1" applyFont="1" applyBorder="1" applyAlignment="1">
      <alignment horizontal="right" vertical="center"/>
    </xf>
    <xf numFmtId="3" fontId="15" fillId="0" borderId="14" xfId="0" applyNumberFormat="1" applyFont="1" applyFill="1" applyBorder="1" applyAlignment="1">
      <alignment horizontal="center" vertical="center"/>
    </xf>
    <xf numFmtId="3" fontId="0" fillId="0" borderId="14" xfId="63" applyNumberFormat="1" applyFont="1" applyFill="1" applyBorder="1" applyAlignment="1">
      <alignment horizontal="right" vertical="center"/>
      <protection/>
    </xf>
    <xf numFmtId="3" fontId="0" fillId="0" borderId="14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/>
    </xf>
    <xf numFmtId="0" fontId="21" fillId="4" borderId="14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2" fillId="0" borderId="14" xfId="0" applyFont="1" applyFill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left" vertical="top" wrapText="1" indent="1"/>
    </xf>
    <xf numFmtId="3" fontId="22" fillId="0" borderId="14" xfId="0" applyNumberFormat="1" applyFont="1" applyFill="1" applyBorder="1" applyAlignment="1">
      <alignment horizontal="center" vertical="center" wrapText="1"/>
    </xf>
    <xf numFmtId="3" fontId="0" fillId="0" borderId="14" xfId="0" applyNumberFormat="1" applyFont="1" applyFill="1" applyBorder="1" applyAlignment="1">
      <alignment horizontal="right" vertical="center" wrapText="1"/>
    </xf>
    <xf numFmtId="0" fontId="24" fillId="0" borderId="14" xfId="0" applyFont="1" applyFill="1" applyBorder="1" applyAlignment="1">
      <alignment horizontal="left" vertical="top" wrapText="1" indent="1"/>
    </xf>
    <xf numFmtId="0" fontId="0" fillId="0" borderId="14" xfId="0" applyFont="1" applyFill="1" applyBorder="1" applyAlignment="1">
      <alignment horizontal="center" vertical="center"/>
    </xf>
    <xf numFmtId="3" fontId="0" fillId="0" borderId="14" xfId="0" applyNumberFormat="1" applyFont="1" applyBorder="1" applyAlignment="1">
      <alignment horizontal="left" vertical="center" wrapText="1" indent="2"/>
    </xf>
    <xf numFmtId="3" fontId="0" fillId="0" borderId="0" xfId="0" applyNumberFormat="1" applyFont="1" applyFill="1" applyBorder="1" applyAlignment="1">
      <alignment vertical="center"/>
    </xf>
    <xf numFmtId="0" fontId="58" fillId="0" borderId="0" xfId="0" applyFont="1" applyBorder="1" applyAlignment="1">
      <alignment vertical="top"/>
    </xf>
    <xf numFmtId="0" fontId="15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top" wrapText="1"/>
    </xf>
    <xf numFmtId="0" fontId="0" fillId="0" borderId="14" xfId="63" applyNumberFormat="1" applyFont="1" applyBorder="1" applyAlignment="1">
      <alignment vertical="center"/>
      <protection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3" fillId="10" borderId="15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 indent="1"/>
    </xf>
    <xf numFmtId="0" fontId="3" fillId="10" borderId="16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10" borderId="18" xfId="0" applyFont="1" applyFill="1" applyBorder="1" applyAlignment="1">
      <alignment horizontal="center" vertical="center" wrapText="1"/>
    </xf>
    <xf numFmtId="0" fontId="59" fillId="0" borderId="0" xfId="0" applyFont="1" applyBorder="1" applyAlignment="1">
      <alignment vertical="center"/>
    </xf>
    <xf numFmtId="3" fontId="15" fillId="0" borderId="14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vertical="center"/>
    </xf>
    <xf numFmtId="167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14" xfId="0" applyFont="1" applyBorder="1" applyAlignment="1">
      <alignment vertical="center"/>
    </xf>
    <xf numFmtId="3" fontId="6" fillId="0" borderId="14" xfId="0" applyNumberFormat="1" applyFont="1" applyFill="1" applyBorder="1" applyAlignment="1">
      <alignment horizontal="right" vertical="center" wrapText="1"/>
    </xf>
    <xf numFmtId="0" fontId="4" fillId="10" borderId="18" xfId="0" applyFont="1" applyFill="1" applyBorder="1" applyAlignment="1">
      <alignment horizontal="center" vertical="top" wrapText="1"/>
    </xf>
    <xf numFmtId="0" fontId="3" fillId="10" borderId="19" xfId="0" applyFont="1" applyFill="1" applyBorder="1" applyAlignment="1">
      <alignment horizontal="center" vertical="center" wrapText="1"/>
    </xf>
    <xf numFmtId="0" fontId="4" fillId="10" borderId="12" xfId="0" applyFont="1" applyFill="1" applyBorder="1" applyAlignment="1">
      <alignment horizontal="center" vertical="top" wrapText="1"/>
    </xf>
    <xf numFmtId="0" fontId="4" fillId="10" borderId="20" xfId="0" applyFont="1" applyFill="1" applyBorder="1" applyAlignment="1">
      <alignment horizontal="center" vertical="top" wrapText="1"/>
    </xf>
    <xf numFmtId="0" fontId="4" fillId="10" borderId="21" xfId="0" applyFont="1" applyFill="1" applyBorder="1" applyAlignment="1">
      <alignment horizontal="center" vertical="top" wrapText="1"/>
    </xf>
    <xf numFmtId="3" fontId="4" fillId="0" borderId="13" xfId="0" applyNumberFormat="1" applyFont="1" applyBorder="1" applyAlignment="1">
      <alignment vertical="center"/>
    </xf>
    <xf numFmtId="166" fontId="4" fillId="0" borderId="13" xfId="0" applyNumberFormat="1" applyFont="1" applyBorder="1" applyAlignment="1">
      <alignment vertical="center"/>
    </xf>
    <xf numFmtId="0" fontId="27" fillId="0" borderId="14" xfId="0" applyFont="1" applyBorder="1" applyAlignment="1">
      <alignment horizontal="left" wrapText="1"/>
    </xf>
    <xf numFmtId="166" fontId="28" fillId="0" borderId="14" xfId="0" applyNumberFormat="1" applyFont="1" applyFill="1" applyBorder="1" applyAlignment="1">
      <alignment horizontal="center" vertical="center" wrapText="1"/>
    </xf>
    <xf numFmtId="166" fontId="0" fillId="0" borderId="14" xfId="63" applyNumberFormat="1" applyFont="1" applyFill="1" applyBorder="1" applyAlignment="1">
      <alignment vertical="center"/>
      <protection/>
    </xf>
    <xf numFmtId="3" fontId="15" fillId="0" borderId="0" xfId="0" applyNumberFormat="1" applyFont="1" applyBorder="1" applyAlignment="1">
      <alignment vertical="center"/>
    </xf>
    <xf numFmtId="166" fontId="30" fillId="0" borderId="14" xfId="0" applyNumberFormat="1" applyFont="1" applyFill="1" applyBorder="1" applyAlignment="1">
      <alignment horizontal="center" vertical="center" wrapText="1"/>
    </xf>
    <xf numFmtId="166" fontId="15" fillId="0" borderId="14" xfId="63" applyNumberFormat="1" applyFont="1" applyFill="1" applyBorder="1" applyAlignment="1">
      <alignment vertical="center"/>
      <protection/>
    </xf>
    <xf numFmtId="0" fontId="31" fillId="0" borderId="0" xfId="0" applyFont="1" applyBorder="1" applyAlignment="1">
      <alignment horizontal="left" vertical="center" wrapText="1"/>
    </xf>
    <xf numFmtId="0" fontId="32" fillId="0" borderId="0" xfId="0" applyFont="1" applyBorder="1" applyAlignment="1">
      <alignment vertical="center"/>
    </xf>
    <xf numFmtId="167" fontId="15" fillId="0" borderId="0" xfId="63" applyNumberFormat="1" applyFont="1" applyFill="1" applyBorder="1" applyAlignment="1">
      <alignment vertical="center"/>
      <protection/>
    </xf>
    <xf numFmtId="3" fontId="15" fillId="0" borderId="0" xfId="63" applyNumberFormat="1" applyFont="1" applyFill="1" applyBorder="1" applyAlignment="1">
      <alignment vertical="center"/>
      <protection/>
    </xf>
    <xf numFmtId="3" fontId="15" fillId="0" borderId="0" xfId="0" applyNumberFormat="1" applyFont="1" applyAlignment="1">
      <alignment/>
    </xf>
    <xf numFmtId="0" fontId="20" fillId="0" borderId="14" xfId="0" applyFont="1" applyFill="1" applyBorder="1" applyAlignment="1">
      <alignment horizontal="left" wrapText="1"/>
    </xf>
    <xf numFmtId="3" fontId="15" fillId="0" borderId="14" xfId="0" applyNumberFormat="1" applyFont="1" applyFill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60" fillId="0" borderId="0" xfId="0" applyFont="1" applyFill="1" applyBorder="1" applyAlignment="1">
      <alignment horizontal="left" wrapText="1"/>
    </xf>
    <xf numFmtId="3" fontId="33" fillId="0" borderId="14" xfId="63" applyNumberFormat="1" applyFont="1" applyFill="1" applyBorder="1" applyAlignment="1">
      <alignment horizontal="center" vertical="center"/>
      <protection/>
    </xf>
    <xf numFmtId="3" fontId="0" fillId="0" borderId="14" xfId="0" applyNumberFormat="1" applyFont="1" applyBorder="1" applyAlignment="1">
      <alignment vertical="center" wrapText="1"/>
    </xf>
    <xf numFmtId="3" fontId="15" fillId="0" borderId="14" xfId="0" applyNumberFormat="1" applyFont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right" vertical="center" wrapText="1"/>
    </xf>
    <xf numFmtId="3" fontId="0" fillId="0" borderId="14" xfId="0" applyNumberFormat="1" applyFont="1" applyBorder="1" applyAlignment="1">
      <alignment vertical="center"/>
    </xf>
    <xf numFmtId="3" fontId="15" fillId="0" borderId="14" xfId="0" applyNumberFormat="1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3" fontId="0" fillId="0" borderId="14" xfId="0" applyNumberFormat="1" applyFont="1" applyBorder="1" applyAlignment="1">
      <alignment horizontal="right" vertical="center"/>
    </xf>
    <xf numFmtId="0" fontId="34" fillId="0" borderId="14" xfId="63" applyNumberFormat="1" applyFont="1" applyBorder="1" applyAlignment="1">
      <alignment vertical="center"/>
      <protection/>
    </xf>
    <xf numFmtId="0" fontId="0" fillId="0" borderId="14" xfId="0" applyFont="1" applyBorder="1" applyAlignment="1">
      <alignment horizontal="center" vertical="center"/>
    </xf>
    <xf numFmtId="3" fontId="34" fillId="0" borderId="14" xfId="63" applyNumberFormat="1" applyFont="1" applyBorder="1" applyAlignment="1">
      <alignment vertical="center"/>
      <protection/>
    </xf>
    <xf numFmtId="0" fontId="0" fillId="0" borderId="14" xfId="0" applyBorder="1" applyAlignment="1">
      <alignment vertical="center"/>
    </xf>
    <xf numFmtId="0" fontId="0" fillId="0" borderId="14" xfId="0" applyFont="1" applyBorder="1" applyAlignment="1">
      <alignment horizontal="left" vertical="center" wrapText="1" indent="4"/>
    </xf>
    <xf numFmtId="49" fontId="21" fillId="0" borderId="14" xfId="0" applyNumberFormat="1" applyFont="1" applyFill="1" applyBorder="1" applyAlignment="1">
      <alignment horizontal="left" vertical="center" wrapText="1"/>
    </xf>
    <xf numFmtId="49" fontId="23" fillId="0" borderId="14" xfId="0" applyNumberFormat="1" applyFont="1" applyFill="1" applyBorder="1" applyAlignment="1">
      <alignment horizontal="left" vertical="center" wrapText="1"/>
    </xf>
    <xf numFmtId="49" fontId="21" fillId="0" borderId="14" xfId="0" applyNumberFormat="1" applyFont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top" wrapText="1" indent="4"/>
    </xf>
    <xf numFmtId="3" fontId="22" fillId="0" borderId="14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/>
    </xf>
    <xf numFmtId="3" fontId="36" fillId="0" borderId="14" xfId="0" applyNumberFormat="1" applyFont="1" applyFill="1" applyBorder="1" applyAlignment="1">
      <alignment horizontal="right" vertical="center" wrapText="1"/>
    </xf>
    <xf numFmtId="3" fontId="61" fillId="0" borderId="0" xfId="0" applyNumberFormat="1" applyFont="1" applyFill="1" applyBorder="1" applyAlignment="1">
      <alignment vertical="center"/>
    </xf>
    <xf numFmtId="3" fontId="62" fillId="0" borderId="0" xfId="0" applyNumberFormat="1" applyFont="1" applyFill="1" applyBorder="1" applyAlignment="1">
      <alignment vertical="center"/>
    </xf>
    <xf numFmtId="3" fontId="63" fillId="0" borderId="0" xfId="0" applyNumberFormat="1" applyFont="1" applyFill="1" applyBorder="1" applyAlignment="1">
      <alignment vertical="center"/>
    </xf>
    <xf numFmtId="0" fontId="13" fillId="0" borderId="0" xfId="0" applyFont="1" applyAlignment="1">
      <alignment/>
    </xf>
    <xf numFmtId="0" fontId="9" fillId="4" borderId="14" xfId="0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165" fontId="13" fillId="0" borderId="14" xfId="0" applyNumberFormat="1" applyFont="1" applyBorder="1" applyAlignment="1">
      <alignment horizontal="center" vertical="center" wrapText="1"/>
    </xf>
    <xf numFmtId="165" fontId="13" fillId="0" borderId="14" xfId="0" applyNumberFormat="1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vertical="center"/>
    </xf>
    <xf numFmtId="165" fontId="13" fillId="0" borderId="14" xfId="0" applyNumberFormat="1" applyFont="1" applyBorder="1" applyAlignment="1">
      <alignment vertical="center"/>
    </xf>
    <xf numFmtId="1" fontId="13" fillId="0" borderId="14" xfId="0" applyNumberFormat="1" applyFont="1" applyBorder="1" applyAlignment="1">
      <alignment vertical="center"/>
    </xf>
    <xf numFmtId="3" fontId="0" fillId="0" borderId="24" xfId="0" applyNumberFormat="1" applyFont="1" applyFill="1" applyBorder="1" applyAlignment="1">
      <alignment horizontal="left" vertical="center" wrapText="1"/>
    </xf>
    <xf numFmtId="0" fontId="39" fillId="0" borderId="14" xfId="0" applyNumberFormat="1" applyFont="1" applyFill="1" applyBorder="1" applyAlignment="1" applyProtection="1">
      <alignment vertical="center" wrapText="1"/>
      <protection/>
    </xf>
    <xf numFmtId="0" fontId="13" fillId="0" borderId="0" xfId="0" applyFont="1" applyAlignment="1">
      <alignment vertical="center"/>
    </xf>
    <xf numFmtId="0" fontId="13" fillId="0" borderId="14" xfId="0" applyFont="1" applyBorder="1" applyAlignment="1">
      <alignment horizontal="left" vertical="center" wrapText="1"/>
    </xf>
    <xf numFmtId="3" fontId="64" fillId="0" borderId="14" xfId="0" applyNumberFormat="1" applyFont="1" applyFill="1" applyBorder="1" applyAlignment="1">
      <alignment horizontal="center" vertical="center"/>
    </xf>
    <xf numFmtId="3" fontId="65" fillId="0" borderId="14" xfId="63" applyNumberFormat="1" applyFont="1" applyFill="1" applyBorder="1" applyAlignment="1">
      <alignment vertical="center"/>
      <protection/>
    </xf>
    <xf numFmtId="0" fontId="38" fillId="0" borderId="14" xfId="0" applyFont="1" applyFill="1" applyBorder="1" applyAlignment="1">
      <alignment horizontal="left" vertical="center" wrapText="1"/>
    </xf>
    <xf numFmtId="3" fontId="12" fillId="0" borderId="14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Border="1" applyAlignment="1">
      <alignment vertical="center"/>
    </xf>
    <xf numFmtId="165" fontId="0" fillId="0" borderId="0" xfId="0" applyNumberFormat="1" applyFont="1" applyBorder="1" applyAlignment="1">
      <alignment vertical="center"/>
    </xf>
    <xf numFmtId="3" fontId="4" fillId="2" borderId="25" xfId="0" applyNumberFormat="1" applyFont="1" applyFill="1" applyBorder="1" applyAlignment="1">
      <alignment horizontal="right" vertical="center" wrapText="1"/>
    </xf>
    <xf numFmtId="3" fontId="4" fillId="0" borderId="12" xfId="0" applyNumberFormat="1" applyFont="1" applyBorder="1" applyAlignment="1">
      <alignment horizontal="right" vertical="center" wrapText="1"/>
    </xf>
    <xf numFmtId="3" fontId="4" fillId="0" borderId="13" xfId="0" applyNumberFormat="1" applyFont="1" applyBorder="1" applyAlignment="1">
      <alignment horizontal="right" vertical="center" wrapText="1"/>
    </xf>
    <xf numFmtId="165" fontId="4" fillId="2" borderId="25" xfId="0" applyNumberFormat="1" applyFont="1" applyFill="1" applyBorder="1" applyAlignment="1">
      <alignment horizontal="right" vertical="center" wrapText="1"/>
    </xf>
    <xf numFmtId="165" fontId="4" fillId="0" borderId="12" xfId="0" applyNumberFormat="1" applyFont="1" applyBorder="1" applyAlignment="1">
      <alignment horizontal="right" vertical="center" wrapText="1"/>
    </xf>
    <xf numFmtId="165" fontId="4" fillId="0" borderId="13" xfId="0" applyNumberFormat="1" applyFont="1" applyBorder="1" applyAlignment="1">
      <alignment horizontal="right" vertical="center" wrapText="1"/>
    </xf>
    <xf numFmtId="0" fontId="4" fillId="10" borderId="13" xfId="0" applyFont="1" applyFill="1" applyBorder="1" applyAlignment="1">
      <alignment horizontal="center" vertical="top" wrapText="1"/>
    </xf>
    <xf numFmtId="165" fontId="4" fillId="0" borderId="12" xfId="0" applyNumberFormat="1" applyFont="1" applyFill="1" applyBorder="1" applyAlignment="1">
      <alignment horizontal="right" vertical="center" wrapText="1"/>
    </xf>
    <xf numFmtId="165" fontId="4" fillId="0" borderId="13" xfId="0" applyNumberFormat="1" applyFont="1" applyFill="1" applyBorder="1" applyAlignment="1">
      <alignment horizontal="right" vertical="center" wrapText="1"/>
    </xf>
    <xf numFmtId="3" fontId="4" fillId="0" borderId="12" xfId="0" applyNumberFormat="1" applyFont="1" applyFill="1" applyBorder="1" applyAlignment="1">
      <alignment horizontal="right" vertical="center" wrapText="1"/>
    </xf>
    <xf numFmtId="3" fontId="4" fillId="2" borderId="26" xfId="0" applyNumberFormat="1" applyFont="1" applyFill="1" applyBorder="1" applyAlignment="1">
      <alignment horizontal="right" vertical="center" wrapText="1"/>
    </xf>
    <xf numFmtId="3" fontId="4" fillId="0" borderId="27" xfId="0" applyNumberFormat="1" applyFont="1" applyBorder="1" applyAlignment="1">
      <alignment horizontal="right" vertical="center" wrapText="1"/>
    </xf>
    <xf numFmtId="165" fontId="4" fillId="0" borderId="11" xfId="0" applyNumberFormat="1" applyFont="1" applyBorder="1" applyAlignment="1">
      <alignment horizontal="right" vertical="center" wrapText="1"/>
    </xf>
    <xf numFmtId="165" fontId="4" fillId="0" borderId="11" xfId="0" applyNumberFormat="1" applyFont="1" applyFill="1" applyBorder="1" applyAlignment="1">
      <alignment horizontal="right" vertical="center" wrapText="1"/>
    </xf>
    <xf numFmtId="3" fontId="4" fillId="0" borderId="11" xfId="0" applyNumberFormat="1" applyFont="1" applyBorder="1" applyAlignment="1">
      <alignment horizontal="right" vertical="center" wrapText="1"/>
    </xf>
    <xf numFmtId="9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0" fontId="3" fillId="10" borderId="28" xfId="0" applyFont="1" applyFill="1" applyBorder="1" applyAlignment="1">
      <alignment horizontal="center" vertical="center" wrapText="1"/>
    </xf>
    <xf numFmtId="0" fontId="4" fillId="10" borderId="18" xfId="0" applyFont="1" applyFill="1" applyBorder="1" applyAlignment="1">
      <alignment horizontal="center" vertical="top" wrapText="1"/>
    </xf>
    <xf numFmtId="0" fontId="3" fillId="10" borderId="29" xfId="0" applyFont="1" applyFill="1" applyBorder="1" applyAlignment="1">
      <alignment horizontal="center" vertical="center"/>
    </xf>
    <xf numFmtId="0" fontId="3" fillId="10" borderId="30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3" fillId="10" borderId="28" xfId="0" applyFont="1" applyFill="1" applyBorder="1" applyAlignment="1">
      <alignment horizontal="center" vertical="top" textRotation="90" wrapText="1"/>
    </xf>
    <xf numFmtId="0" fontId="3" fillId="10" borderId="31" xfId="0" applyFont="1" applyFill="1" applyBorder="1" applyAlignment="1">
      <alignment horizontal="center" vertical="top" textRotation="90" wrapText="1"/>
    </xf>
    <xf numFmtId="0" fontId="3" fillId="10" borderId="32" xfId="0" applyFont="1" applyFill="1" applyBorder="1" applyAlignment="1">
      <alignment horizontal="center" vertical="center" wrapText="1"/>
    </xf>
    <xf numFmtId="0" fontId="3" fillId="10" borderId="33" xfId="0" applyFont="1" applyFill="1" applyBorder="1" applyAlignment="1">
      <alignment horizontal="center" vertical="center" wrapText="1"/>
    </xf>
    <xf numFmtId="0" fontId="3" fillId="10" borderId="31" xfId="0" applyFont="1" applyFill="1" applyBorder="1" applyAlignment="1">
      <alignment horizontal="center" vertical="center" wrapText="1"/>
    </xf>
    <xf numFmtId="0" fontId="29" fillId="4" borderId="14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0" fillId="4" borderId="14" xfId="0" applyFill="1" applyBorder="1" applyAlignment="1">
      <alignment/>
    </xf>
    <xf numFmtId="0" fontId="6" fillId="4" borderId="14" xfId="0" applyFont="1" applyFill="1" applyBorder="1" applyAlignment="1">
      <alignment horizontal="center" vertical="center" wrapText="1"/>
    </xf>
    <xf numFmtId="3" fontId="8" fillId="0" borderId="14" xfId="0" applyNumberFormat="1" applyFont="1" applyBorder="1" applyAlignment="1">
      <alignment horizontal="center" vertical="center" wrapText="1"/>
    </xf>
    <xf numFmtId="3" fontId="35" fillId="0" borderId="14" xfId="0" applyNumberFormat="1" applyFont="1" applyBorder="1" applyAlignment="1">
      <alignment horizontal="center" vertical="center" wrapText="1"/>
    </xf>
    <xf numFmtId="3" fontId="8" fillId="0" borderId="34" xfId="0" applyNumberFormat="1" applyFont="1" applyBorder="1" applyAlignment="1">
      <alignment horizontal="center" vertical="center" wrapText="1"/>
    </xf>
    <xf numFmtId="3" fontId="8" fillId="0" borderId="35" xfId="0" applyNumberFormat="1" applyFont="1" applyBorder="1" applyAlignment="1">
      <alignment horizontal="center" vertical="center" wrapText="1"/>
    </xf>
    <xf numFmtId="3" fontId="8" fillId="0" borderId="36" xfId="0" applyNumberFormat="1" applyFont="1" applyBorder="1" applyAlignment="1">
      <alignment horizontal="center" vertical="center" wrapText="1"/>
    </xf>
    <xf numFmtId="0" fontId="6" fillId="4" borderId="34" xfId="0" applyFont="1" applyFill="1" applyBorder="1" applyAlignment="1">
      <alignment horizontal="center" vertical="center" wrapText="1"/>
    </xf>
    <xf numFmtId="0" fontId="6" fillId="4" borderId="35" xfId="0" applyFont="1" applyFill="1" applyBorder="1" applyAlignment="1">
      <alignment horizontal="center" vertical="center" wrapText="1"/>
    </xf>
    <xf numFmtId="0" fontId="6" fillId="4" borderId="36" xfId="0" applyFont="1" applyFill="1" applyBorder="1" applyAlignment="1">
      <alignment horizontal="center" vertical="center" wrapText="1"/>
    </xf>
    <xf numFmtId="3" fontId="8" fillId="0" borderId="34" xfId="0" applyNumberFormat="1" applyFont="1" applyBorder="1" applyAlignment="1">
      <alignment horizontal="center" vertical="center" wrapText="1"/>
    </xf>
    <xf numFmtId="3" fontId="8" fillId="0" borderId="35" xfId="0" applyNumberFormat="1" applyFont="1" applyBorder="1" applyAlignment="1">
      <alignment horizontal="center" vertical="center" wrapText="1"/>
    </xf>
    <xf numFmtId="3" fontId="8" fillId="0" borderId="36" xfId="0" applyNumberFormat="1" applyFont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49" fontId="2" fillId="4" borderId="14" xfId="0" applyNumberFormat="1" applyFont="1" applyFill="1" applyBorder="1" applyAlignment="1">
      <alignment horizontal="center" vertical="center" wrapText="1"/>
    </xf>
    <xf numFmtId="0" fontId="21" fillId="4" borderId="14" xfId="0" applyFont="1" applyFill="1" applyBorder="1" applyAlignment="1">
      <alignment horizontal="center" vertical="center" wrapText="1"/>
    </xf>
    <xf numFmtId="0" fontId="21" fillId="4" borderId="34" xfId="0" applyFont="1" applyFill="1" applyBorder="1" applyAlignment="1">
      <alignment horizontal="center" vertical="center" wrapText="1"/>
    </xf>
    <xf numFmtId="0" fontId="21" fillId="4" borderId="35" xfId="0" applyFont="1" applyFill="1" applyBorder="1" applyAlignment="1">
      <alignment horizontal="center" vertical="center" wrapText="1"/>
    </xf>
    <xf numFmtId="0" fontId="21" fillId="4" borderId="36" xfId="0" applyFont="1" applyFill="1" applyBorder="1" applyAlignment="1">
      <alignment horizontal="center" vertical="center" wrapText="1"/>
    </xf>
    <xf numFmtId="3" fontId="8" fillId="0" borderId="37" xfId="0" applyNumberFormat="1" applyFont="1" applyFill="1" applyBorder="1" applyAlignment="1">
      <alignment horizontal="center" vertical="center" wrapText="1"/>
    </xf>
    <xf numFmtId="3" fontId="8" fillId="0" borderId="38" xfId="0" applyNumberFormat="1" applyFont="1" applyFill="1" applyBorder="1" applyAlignment="1">
      <alignment horizontal="center" vertical="center" wrapText="1"/>
    </xf>
    <xf numFmtId="3" fontId="8" fillId="0" borderId="39" xfId="0" applyNumberFormat="1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 wrapText="1"/>
    </xf>
    <xf numFmtId="0" fontId="66" fillId="0" borderId="34" xfId="0" applyFont="1" applyFill="1" applyBorder="1" applyAlignment="1">
      <alignment horizontal="center" vertical="center" wrapText="1"/>
    </xf>
    <xf numFmtId="0" fontId="66" fillId="0" borderId="35" xfId="0" applyFont="1" applyFill="1" applyBorder="1" applyAlignment="1">
      <alignment horizontal="center" vertical="center" wrapText="1"/>
    </xf>
    <xf numFmtId="0" fontId="66" fillId="0" borderId="36" xfId="0" applyFont="1" applyFill="1" applyBorder="1" applyAlignment="1">
      <alignment horizontal="center" vertical="center" wrapText="1"/>
    </xf>
    <xf numFmtId="0" fontId="37" fillId="4" borderId="14" xfId="0" applyFont="1" applyFill="1" applyBorder="1" applyAlignment="1">
      <alignment horizontal="center" vertical="center" wrapText="1"/>
    </xf>
    <xf numFmtId="0" fontId="13" fillId="4" borderId="14" xfId="0" applyFont="1" applyFill="1" applyBorder="1" applyAlignment="1">
      <alignment horizontal="center" vertical="center" wrapText="1"/>
    </xf>
    <xf numFmtId="0" fontId="37" fillId="4" borderId="34" xfId="0" applyFont="1" applyFill="1" applyBorder="1" applyAlignment="1">
      <alignment horizontal="center" vertical="center"/>
    </xf>
    <xf numFmtId="0" fontId="37" fillId="4" borderId="35" xfId="0" applyFont="1" applyFill="1" applyBorder="1" applyAlignment="1">
      <alignment horizontal="center" vertical="center"/>
    </xf>
    <xf numFmtId="0" fontId="37" fillId="4" borderId="36" xfId="0" applyFont="1" applyFill="1" applyBorder="1" applyAlignment="1">
      <alignment horizontal="center" vertical="center"/>
    </xf>
    <xf numFmtId="0" fontId="37" fillId="4" borderId="14" xfId="0" applyFont="1" applyFill="1" applyBorder="1" applyAlignment="1">
      <alignment horizontal="center" vertical="center"/>
    </xf>
    <xf numFmtId="0" fontId="6" fillId="4" borderId="40" xfId="0" applyFont="1" applyFill="1" applyBorder="1" applyAlignment="1">
      <alignment horizontal="center" vertical="center" wrapText="1"/>
    </xf>
    <xf numFmtId="0" fontId="37" fillId="4" borderId="41" xfId="0" applyFont="1" applyFill="1" applyBorder="1" applyAlignment="1">
      <alignment horizontal="center" vertical="top" wrapText="1"/>
    </xf>
    <xf numFmtId="0" fontId="37" fillId="4" borderId="42" xfId="0" applyFont="1" applyFill="1" applyBorder="1" applyAlignment="1">
      <alignment horizontal="center" vertical="top" wrapText="1"/>
    </xf>
    <xf numFmtId="0" fontId="37" fillId="4" borderId="43" xfId="0" applyFont="1" applyFill="1" applyBorder="1" applyAlignment="1">
      <alignment horizontal="center" vertical="top" wrapText="1"/>
    </xf>
    <xf numFmtId="0" fontId="37" fillId="4" borderId="37" xfId="0" applyFont="1" applyFill="1" applyBorder="1" applyAlignment="1">
      <alignment horizontal="center" vertical="top" wrapText="1"/>
    </xf>
    <xf numFmtId="0" fontId="37" fillId="4" borderId="38" xfId="0" applyFont="1" applyFill="1" applyBorder="1" applyAlignment="1">
      <alignment horizontal="center" vertical="top" wrapText="1"/>
    </xf>
    <xf numFmtId="0" fontId="37" fillId="4" borderId="39" xfId="0" applyFont="1" applyFill="1" applyBorder="1" applyAlignment="1">
      <alignment horizontal="center" vertical="top" wrapText="1"/>
    </xf>
    <xf numFmtId="0" fontId="38" fillId="4" borderId="14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6" fillId="4" borderId="41" xfId="0" applyFont="1" applyFill="1" applyBorder="1" applyAlignment="1">
      <alignment horizontal="center" vertical="center" wrapText="1"/>
    </xf>
    <xf numFmtId="0" fontId="6" fillId="4" borderId="42" xfId="0" applyFont="1" applyFill="1" applyBorder="1" applyAlignment="1">
      <alignment horizontal="center" vertical="center" wrapText="1"/>
    </xf>
    <xf numFmtId="0" fontId="6" fillId="4" borderId="43" xfId="0" applyFont="1" applyFill="1" applyBorder="1" applyAlignment="1">
      <alignment horizontal="center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F6" xfId="33"/>
    <cellStyle name="F7" xfId="34"/>
    <cellStyle name="pNormal" xfId="35"/>
    <cellStyle name="pUnit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4"/>
  <sheetViews>
    <sheetView tabSelected="1" zoomScale="120" zoomScaleNormal="120" workbookViewId="0" topLeftCell="A1">
      <selection activeCell="A2" sqref="A2:IV2"/>
    </sheetView>
  </sheetViews>
  <sheetFormatPr defaultColWidth="9.00390625" defaultRowHeight="12.75"/>
  <cols>
    <col min="1" max="1" width="23.375" style="5" customWidth="1"/>
    <col min="2" max="2" width="4.875" style="17" customWidth="1"/>
    <col min="3" max="11" width="7.75390625" style="16" customWidth="1"/>
    <col min="12" max="12" width="3.625" style="5" customWidth="1"/>
    <col min="13" max="13" width="5.625" style="5" customWidth="1"/>
    <col min="14" max="14" width="5.875" style="5" customWidth="1"/>
    <col min="15" max="15" width="5.625" style="5" customWidth="1"/>
    <col min="16" max="16" width="5.875" style="5" customWidth="1"/>
    <col min="17" max="17" width="5.375" style="5" customWidth="1"/>
    <col min="18" max="18" width="5.875" style="5" customWidth="1"/>
    <col min="19" max="19" width="5.375" style="5" customWidth="1"/>
    <col min="20" max="20" width="5.875" style="5" customWidth="1"/>
    <col min="21" max="16384" width="9.125" style="5" customWidth="1"/>
  </cols>
  <sheetData>
    <row r="1" spans="1:11" s="1" customFormat="1" ht="15.75">
      <c r="A1" s="7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</row>
    <row r="3" spans="1:20" s="4" customFormat="1" ht="27" customHeight="1">
      <c r="A3" s="182" t="s">
        <v>1</v>
      </c>
      <c r="B3" s="175" t="s">
        <v>2</v>
      </c>
      <c r="C3" s="178" t="s">
        <v>4</v>
      </c>
      <c r="D3" s="179"/>
      <c r="E3" s="178" t="s">
        <v>5</v>
      </c>
      <c r="F3" s="179"/>
      <c r="G3" s="178" t="s">
        <v>157</v>
      </c>
      <c r="H3" s="179"/>
      <c r="I3" s="178" t="s">
        <v>159</v>
      </c>
      <c r="J3" s="179"/>
      <c r="K3" s="93" t="s">
        <v>182</v>
      </c>
      <c r="L3" s="180" t="s">
        <v>3</v>
      </c>
      <c r="M3" s="177" t="s">
        <v>4</v>
      </c>
      <c r="N3" s="177"/>
      <c r="O3" s="177" t="s">
        <v>5</v>
      </c>
      <c r="P3" s="177"/>
      <c r="Q3" s="177" t="s">
        <v>157</v>
      </c>
      <c r="R3" s="177"/>
      <c r="S3" s="177" t="s">
        <v>159</v>
      </c>
      <c r="T3" s="177"/>
    </row>
    <row r="4" spans="1:20" ht="34.5" customHeight="1">
      <c r="A4" s="183"/>
      <c r="B4" s="184"/>
      <c r="C4" s="92" t="s">
        <v>7</v>
      </c>
      <c r="D4" s="92" t="s">
        <v>6</v>
      </c>
      <c r="E4" s="92" t="s">
        <v>8</v>
      </c>
      <c r="F4" s="92" t="s">
        <v>7</v>
      </c>
      <c r="G4" s="92" t="s">
        <v>9</v>
      </c>
      <c r="H4" s="92" t="s">
        <v>8</v>
      </c>
      <c r="I4" s="92" t="s">
        <v>9</v>
      </c>
      <c r="J4" s="92" t="s">
        <v>8</v>
      </c>
      <c r="K4" s="92" t="s">
        <v>9</v>
      </c>
      <c r="L4" s="181"/>
      <c r="M4" s="176" t="s">
        <v>158</v>
      </c>
      <c r="N4" s="176"/>
      <c r="O4" s="176" t="s">
        <v>160</v>
      </c>
      <c r="P4" s="176"/>
      <c r="Q4" s="176" t="s">
        <v>205</v>
      </c>
      <c r="R4" s="176"/>
      <c r="S4" s="176" t="s">
        <v>205</v>
      </c>
      <c r="T4" s="176"/>
    </row>
    <row r="5" spans="1:20" s="8" customFormat="1" ht="10.5" customHeight="1">
      <c r="A5" s="78" t="s">
        <v>10</v>
      </c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95"/>
      <c r="N5" s="96"/>
      <c r="O5" s="95"/>
      <c r="P5" s="96"/>
      <c r="Q5" s="95"/>
      <c r="R5" s="96"/>
      <c r="S5" s="95"/>
      <c r="T5" s="96"/>
    </row>
    <row r="6" spans="1:20" ht="22.5">
      <c r="A6" s="79" t="s">
        <v>11</v>
      </c>
      <c r="B6" s="9" t="s">
        <v>12</v>
      </c>
      <c r="C6" s="158">
        <v>46986.815</v>
      </c>
      <c r="D6" s="159">
        <v>48425.319</v>
      </c>
      <c r="E6" s="158">
        <v>50775.538</v>
      </c>
      <c r="F6" s="159">
        <v>56024.194</v>
      </c>
      <c r="G6" s="158">
        <v>54523.477</v>
      </c>
      <c r="H6" s="159">
        <v>60346.359</v>
      </c>
      <c r="I6" s="158">
        <v>58454.807</v>
      </c>
      <c r="J6" s="159">
        <v>65454.966</v>
      </c>
      <c r="K6" s="160">
        <v>71098.773</v>
      </c>
      <c r="L6" s="10"/>
      <c r="M6" s="97">
        <f>D6-C6</f>
        <v>1438.5040000000008</v>
      </c>
      <c r="N6" s="11">
        <f>D6/C6</f>
        <v>1.030615056585555</v>
      </c>
      <c r="O6" s="97">
        <f>F6-E6</f>
        <v>5248.656000000003</v>
      </c>
      <c r="P6" s="11">
        <f>F6/E6</f>
        <v>1.1033697762099537</v>
      </c>
      <c r="Q6" s="97">
        <f>H6-G6</f>
        <v>5822.881999999998</v>
      </c>
      <c r="R6" s="11">
        <f>H6/G6</f>
        <v>1.1067958670354057</v>
      </c>
      <c r="S6" s="97">
        <f>J6-I6</f>
        <v>7000.159</v>
      </c>
      <c r="T6" s="11">
        <f>J6/I6</f>
        <v>1.1197533506525819</v>
      </c>
    </row>
    <row r="7" spans="1:20" ht="11.25">
      <c r="A7" s="80" t="s">
        <v>13</v>
      </c>
      <c r="B7" s="9" t="s">
        <v>14</v>
      </c>
      <c r="C7" s="161">
        <v>105.7</v>
      </c>
      <c r="D7" s="162">
        <v>110.5</v>
      </c>
      <c r="E7" s="161">
        <v>102.7</v>
      </c>
      <c r="F7" s="162">
        <v>110.2</v>
      </c>
      <c r="G7" s="161">
        <v>102.3</v>
      </c>
      <c r="H7" s="162">
        <v>102.9</v>
      </c>
      <c r="I7" s="161">
        <v>102.5</v>
      </c>
      <c r="J7" s="162">
        <v>103.6</v>
      </c>
      <c r="K7" s="163">
        <v>103.8</v>
      </c>
      <c r="L7" s="10" t="s">
        <v>14</v>
      </c>
      <c r="M7" s="97"/>
      <c r="N7" s="12">
        <f>D7-C7</f>
        <v>4.799999999999997</v>
      </c>
      <c r="O7" s="97"/>
      <c r="P7" s="12">
        <f>F7-E7</f>
        <v>7.5</v>
      </c>
      <c r="Q7" s="97"/>
      <c r="R7" s="12">
        <f>H7-G7</f>
        <v>0.6000000000000085</v>
      </c>
      <c r="S7" s="97"/>
      <c r="T7" s="12">
        <f>J7-I7</f>
        <v>1.0999999999999943</v>
      </c>
    </row>
    <row r="8" spans="1:20" s="8" customFormat="1" ht="10.5" customHeight="1">
      <c r="A8" s="81" t="s">
        <v>15</v>
      </c>
      <c r="B8" s="13"/>
      <c r="C8" s="164"/>
      <c r="D8" s="164"/>
      <c r="E8" s="164"/>
      <c r="F8" s="164"/>
      <c r="G8" s="164"/>
      <c r="H8" s="164"/>
      <c r="I8" s="164"/>
      <c r="J8" s="164"/>
      <c r="K8" s="164"/>
      <c r="L8" s="14"/>
      <c r="M8" s="15"/>
      <c r="N8" s="94"/>
      <c r="O8" s="15"/>
      <c r="P8" s="94"/>
      <c r="Q8" s="15"/>
      <c r="R8" s="94"/>
      <c r="S8" s="15"/>
      <c r="T8" s="94"/>
    </row>
    <row r="9" spans="1:20" ht="21" customHeight="1">
      <c r="A9" s="79" t="s">
        <v>16</v>
      </c>
      <c r="B9" s="9" t="s">
        <v>12</v>
      </c>
      <c r="C9" s="158">
        <v>5734.738</v>
      </c>
      <c r="D9" s="159">
        <v>5790.613</v>
      </c>
      <c r="E9" s="158">
        <v>5957.62</v>
      </c>
      <c r="F9" s="159">
        <v>5950.342</v>
      </c>
      <c r="G9" s="158">
        <v>6102.924</v>
      </c>
      <c r="H9" s="159">
        <v>6067.624</v>
      </c>
      <c r="I9" s="158">
        <v>6366.373</v>
      </c>
      <c r="J9" s="159">
        <v>6356.175</v>
      </c>
      <c r="K9" s="160">
        <v>6520.973</v>
      </c>
      <c r="L9" s="10"/>
      <c r="M9" s="97">
        <f>D9-C9</f>
        <v>55.875</v>
      </c>
      <c r="N9" s="11">
        <f>D9/C9</f>
        <v>1.0097432524380363</v>
      </c>
      <c r="O9" s="97">
        <f>F9-E9</f>
        <v>-7.278000000000247</v>
      </c>
      <c r="P9" s="11">
        <f>F9/E9</f>
        <v>0.9987783712287792</v>
      </c>
      <c r="Q9" s="97">
        <f>H9-G9</f>
        <v>-35.30000000000018</v>
      </c>
      <c r="R9" s="11">
        <f>H9/G9</f>
        <v>0.9942158873353166</v>
      </c>
      <c r="S9" s="97">
        <f>J9-I9</f>
        <v>-10.19799999999941</v>
      </c>
      <c r="T9" s="11">
        <f>J9/I9</f>
        <v>0.9983981460087243</v>
      </c>
    </row>
    <row r="10" spans="1:20" ht="11.25">
      <c r="A10" s="80" t="s">
        <v>13</v>
      </c>
      <c r="B10" s="9" t="s">
        <v>14</v>
      </c>
      <c r="C10" s="161">
        <v>96.1</v>
      </c>
      <c r="D10" s="162">
        <v>91.1</v>
      </c>
      <c r="E10" s="161">
        <v>100.6</v>
      </c>
      <c r="F10" s="162">
        <v>100.3</v>
      </c>
      <c r="G10" s="161">
        <v>98.5</v>
      </c>
      <c r="H10" s="162">
        <v>99.3</v>
      </c>
      <c r="I10" s="161">
        <v>100.5</v>
      </c>
      <c r="J10" s="162">
        <v>101.9</v>
      </c>
      <c r="K10" s="163">
        <v>100</v>
      </c>
      <c r="L10" s="10" t="s">
        <v>14</v>
      </c>
      <c r="M10" s="97"/>
      <c r="N10" s="12">
        <f>D10-C10</f>
        <v>-5</v>
      </c>
      <c r="O10" s="97"/>
      <c r="P10" s="12">
        <f>F10-E10</f>
        <v>-0.29999999999999716</v>
      </c>
      <c r="Q10" s="97"/>
      <c r="R10" s="12">
        <f>H10-G10</f>
        <v>0.7999999999999972</v>
      </c>
      <c r="S10" s="97"/>
      <c r="T10" s="12">
        <f>J10-I10</f>
        <v>1.4000000000000057</v>
      </c>
    </row>
    <row r="11" spans="1:20" ht="33.75">
      <c r="A11" s="79" t="s">
        <v>17</v>
      </c>
      <c r="B11" s="9" t="s">
        <v>12</v>
      </c>
      <c r="C11" s="158">
        <v>8241.676</v>
      </c>
      <c r="D11" s="159">
        <v>6985.274</v>
      </c>
      <c r="E11" s="158">
        <v>7824.792</v>
      </c>
      <c r="F11" s="159">
        <v>6686.6</v>
      </c>
      <c r="G11" s="158">
        <v>6938.426</v>
      </c>
      <c r="H11" s="159">
        <v>6903.331</v>
      </c>
      <c r="I11" s="158">
        <v>6606.547</v>
      </c>
      <c r="J11" s="159">
        <v>5998.296</v>
      </c>
      <c r="K11" s="160">
        <v>5350.027</v>
      </c>
      <c r="L11" s="10"/>
      <c r="M11" s="97">
        <f>D11-C11</f>
        <v>-1256.4019999999991</v>
      </c>
      <c r="N11" s="11">
        <f>D11/C11</f>
        <v>0.847555036135854</v>
      </c>
      <c r="O11" s="97">
        <f>F11-E11</f>
        <v>-1138.192</v>
      </c>
      <c r="P11" s="11">
        <f>F11/E11</f>
        <v>0.8545402868216817</v>
      </c>
      <c r="Q11" s="97">
        <f>H11-G11</f>
        <v>-35.095000000000255</v>
      </c>
      <c r="R11" s="11">
        <f>H11/G11</f>
        <v>0.9949419363988317</v>
      </c>
      <c r="S11" s="97">
        <f>J11-I11</f>
        <v>-608.2509999999993</v>
      </c>
      <c r="T11" s="11">
        <f>J11/I11</f>
        <v>0.9079320861563538</v>
      </c>
    </row>
    <row r="12" spans="1:20" ht="11.25">
      <c r="A12" s="80" t="s">
        <v>13</v>
      </c>
      <c r="B12" s="9" t="s">
        <v>14</v>
      </c>
      <c r="C12" s="161">
        <v>99.3</v>
      </c>
      <c r="D12" s="162">
        <v>84.4</v>
      </c>
      <c r="E12" s="161">
        <v>90.1</v>
      </c>
      <c r="F12" s="162">
        <v>90.8</v>
      </c>
      <c r="G12" s="161">
        <v>84.4</v>
      </c>
      <c r="H12" s="162">
        <v>98.8</v>
      </c>
      <c r="I12" s="161">
        <v>91</v>
      </c>
      <c r="J12" s="162">
        <v>83.2</v>
      </c>
      <c r="K12" s="163">
        <v>85.7</v>
      </c>
      <c r="L12" s="10" t="s">
        <v>14</v>
      </c>
      <c r="M12" s="97"/>
      <c r="N12" s="12">
        <f>D12-C12</f>
        <v>-14.899999999999991</v>
      </c>
      <c r="O12" s="97"/>
      <c r="P12" s="12">
        <f>F12-E12</f>
        <v>0.7000000000000028</v>
      </c>
      <c r="Q12" s="97"/>
      <c r="R12" s="12">
        <f>H12-G12</f>
        <v>14.399999999999991</v>
      </c>
      <c r="S12" s="97"/>
      <c r="T12" s="12">
        <f>J12-I12</f>
        <v>-7.799999999999997</v>
      </c>
    </row>
    <row r="13" spans="1:20" s="8" customFormat="1" ht="10.5" customHeight="1">
      <c r="A13" s="81" t="s">
        <v>18</v>
      </c>
      <c r="B13" s="13"/>
      <c r="C13" s="164"/>
      <c r="D13" s="164"/>
      <c r="E13" s="164"/>
      <c r="F13" s="164"/>
      <c r="G13" s="164"/>
      <c r="H13" s="164"/>
      <c r="I13" s="164"/>
      <c r="J13" s="164"/>
      <c r="K13" s="164"/>
      <c r="L13" s="14"/>
      <c r="M13" s="15"/>
      <c r="N13" s="94"/>
      <c r="O13" s="15"/>
      <c r="P13" s="94"/>
      <c r="Q13" s="15"/>
      <c r="R13" s="94"/>
      <c r="S13" s="15"/>
      <c r="T13" s="94"/>
    </row>
    <row r="14" spans="1:20" ht="22.5">
      <c r="A14" s="79" t="s">
        <v>19</v>
      </c>
      <c r="B14" s="9" t="s">
        <v>20</v>
      </c>
      <c r="C14" s="161">
        <v>114.06</v>
      </c>
      <c r="D14" s="165">
        <v>113.639</v>
      </c>
      <c r="E14" s="161">
        <v>116.06</v>
      </c>
      <c r="F14" s="165">
        <v>115.15</v>
      </c>
      <c r="G14" s="161">
        <v>117.96</v>
      </c>
      <c r="H14" s="165">
        <v>116.55</v>
      </c>
      <c r="I14" s="161">
        <v>119.76</v>
      </c>
      <c r="J14" s="165">
        <v>117.85</v>
      </c>
      <c r="K14" s="166">
        <v>119.15</v>
      </c>
      <c r="L14" s="10"/>
      <c r="M14" s="98">
        <f>D14-C14</f>
        <v>-0.4210000000000065</v>
      </c>
      <c r="N14" s="11">
        <f>D14/C14</f>
        <v>0.9963089601963878</v>
      </c>
      <c r="O14" s="98">
        <f>F14-E14</f>
        <v>-0.9099999999999966</v>
      </c>
      <c r="P14" s="11">
        <f>F14/E14</f>
        <v>0.9921592279855248</v>
      </c>
      <c r="Q14" s="98">
        <f>H14-G14</f>
        <v>-1.4099999999999966</v>
      </c>
      <c r="R14" s="11">
        <f>H14/G14</f>
        <v>0.9880467955239064</v>
      </c>
      <c r="S14" s="98">
        <f>J14-I14</f>
        <v>-1.9100000000000108</v>
      </c>
      <c r="T14" s="11">
        <f>J14/I14</f>
        <v>0.9840514362057448</v>
      </c>
    </row>
    <row r="15" spans="1:20" ht="33.75">
      <c r="A15" s="79" t="s">
        <v>21</v>
      </c>
      <c r="B15" s="9" t="s">
        <v>20</v>
      </c>
      <c r="C15" s="161">
        <v>48.112</v>
      </c>
      <c r="D15" s="162">
        <v>47.9</v>
      </c>
      <c r="E15" s="161">
        <v>48.197</v>
      </c>
      <c r="F15" s="162">
        <v>47.95</v>
      </c>
      <c r="G15" s="161">
        <v>48.369</v>
      </c>
      <c r="H15" s="162">
        <v>48.05</v>
      </c>
      <c r="I15" s="161">
        <v>48.54</v>
      </c>
      <c r="J15" s="162">
        <v>48.25</v>
      </c>
      <c r="K15" s="163">
        <v>48.45</v>
      </c>
      <c r="L15" s="10"/>
      <c r="M15" s="98">
        <f>D15-C15</f>
        <v>-0.2120000000000033</v>
      </c>
      <c r="N15" s="11">
        <f>D15/C15</f>
        <v>0.9955936148985699</v>
      </c>
      <c r="O15" s="98">
        <f>F15-E15</f>
        <v>-0.2469999999999999</v>
      </c>
      <c r="P15" s="11">
        <f>F15/E15</f>
        <v>0.9948751997012262</v>
      </c>
      <c r="Q15" s="98">
        <f>H15-G15</f>
        <v>-0.3190000000000026</v>
      </c>
      <c r="R15" s="11">
        <f>H15/G15</f>
        <v>0.993404866753499</v>
      </c>
      <c r="S15" s="98">
        <f>J15-I15</f>
        <v>-0.28999999999999915</v>
      </c>
      <c r="T15" s="11">
        <f>J15/I15</f>
        <v>0.9940255459414916</v>
      </c>
    </row>
    <row r="16" spans="1:20" s="8" customFormat="1" ht="10.5" customHeight="1">
      <c r="A16" s="81" t="s">
        <v>22</v>
      </c>
      <c r="B16" s="13"/>
      <c r="C16" s="164"/>
      <c r="D16" s="164"/>
      <c r="E16" s="164"/>
      <c r="F16" s="164"/>
      <c r="G16" s="164"/>
      <c r="H16" s="164"/>
      <c r="I16" s="164"/>
      <c r="J16" s="164"/>
      <c r="K16" s="164"/>
      <c r="L16" s="14"/>
      <c r="M16" s="15"/>
      <c r="N16" s="94"/>
      <c r="O16" s="15"/>
      <c r="P16" s="94"/>
      <c r="Q16" s="15"/>
      <c r="R16" s="94"/>
      <c r="S16" s="15"/>
      <c r="T16" s="94"/>
    </row>
    <row r="17" spans="1:20" ht="21" customHeight="1">
      <c r="A17" s="79" t="s">
        <v>23</v>
      </c>
      <c r="B17" s="9" t="s">
        <v>12</v>
      </c>
      <c r="C17" s="158">
        <v>20700</v>
      </c>
      <c r="D17" s="159">
        <v>20565.41</v>
      </c>
      <c r="E17" s="158">
        <v>21460</v>
      </c>
      <c r="F17" s="159">
        <v>21513.286</v>
      </c>
      <c r="G17" s="158">
        <v>22400</v>
      </c>
      <c r="H17" s="159">
        <v>22506.711</v>
      </c>
      <c r="I17" s="158">
        <v>23500</v>
      </c>
      <c r="J17" s="159">
        <v>23594.809</v>
      </c>
      <c r="K17" s="160">
        <v>24758.779</v>
      </c>
      <c r="L17" s="10"/>
      <c r="M17" s="97">
        <f>D17-C17</f>
        <v>-134.59000000000015</v>
      </c>
      <c r="N17" s="11">
        <f>D17/C17</f>
        <v>0.9934980676328502</v>
      </c>
      <c r="O17" s="97">
        <f>F17-E17</f>
        <v>53.28600000000006</v>
      </c>
      <c r="P17" s="11">
        <f>F17/E17</f>
        <v>1.0024830382106245</v>
      </c>
      <c r="Q17" s="97">
        <f>H17-G17</f>
        <v>106.71099999999933</v>
      </c>
      <c r="R17" s="11">
        <f>H17/G17</f>
        <v>1.0047638839285713</v>
      </c>
      <c r="S17" s="97">
        <f>J17-I17</f>
        <v>94.8090000000011</v>
      </c>
      <c r="T17" s="11">
        <f>J17/I17</f>
        <v>1.004034425531915</v>
      </c>
    </row>
    <row r="18" spans="1:20" ht="11.25">
      <c r="A18" s="80" t="s">
        <v>24</v>
      </c>
      <c r="B18" s="9" t="s">
        <v>14</v>
      </c>
      <c r="C18" s="161">
        <v>102.6</v>
      </c>
      <c r="D18" s="165">
        <v>101.9</v>
      </c>
      <c r="E18" s="161">
        <f aca="true" t="shared" si="0" ref="E18:J18">E17/C17*100</f>
        <v>103.67149758454106</v>
      </c>
      <c r="F18" s="165">
        <f t="shared" si="0"/>
        <v>104.60907903124712</v>
      </c>
      <c r="G18" s="161">
        <f t="shared" si="0"/>
        <v>104.38024231127679</v>
      </c>
      <c r="H18" s="165">
        <f t="shared" si="0"/>
        <v>104.61772785431292</v>
      </c>
      <c r="I18" s="161">
        <f t="shared" si="0"/>
        <v>104.91071428571428</v>
      </c>
      <c r="J18" s="165">
        <f t="shared" si="0"/>
        <v>104.83454912625841</v>
      </c>
      <c r="K18" s="163">
        <f>K17/J17*100</f>
        <v>104.93316135765285</v>
      </c>
      <c r="L18" s="10" t="s">
        <v>14</v>
      </c>
      <c r="M18" s="97"/>
      <c r="N18" s="12">
        <f>D18-C18</f>
        <v>-0.6999999999999886</v>
      </c>
      <c r="O18" s="97"/>
      <c r="P18" s="12">
        <f>F18-E18</f>
        <v>0.9375814467060621</v>
      </c>
      <c r="Q18" s="97"/>
      <c r="R18" s="12">
        <f>H18-G18</f>
        <v>0.23748554303612934</v>
      </c>
      <c r="S18" s="97"/>
      <c r="T18" s="12">
        <f>J18-I18</f>
        <v>-0.07616515945586855</v>
      </c>
    </row>
    <row r="19" spans="1:20" ht="22.5">
      <c r="A19" s="79" t="s">
        <v>25</v>
      </c>
      <c r="B19" s="9" t="s">
        <v>26</v>
      </c>
      <c r="C19" s="158">
        <f aca="true" t="shared" si="1" ref="C19:K19">C17/C15/12*1000</f>
        <v>35853.84103757898</v>
      </c>
      <c r="D19" s="167">
        <f t="shared" si="1"/>
        <v>35778.37508698678</v>
      </c>
      <c r="E19" s="158">
        <f t="shared" si="1"/>
        <v>37104.66073268737</v>
      </c>
      <c r="F19" s="167">
        <f t="shared" si="1"/>
        <v>37388.40111226973</v>
      </c>
      <c r="G19" s="158">
        <f t="shared" si="1"/>
        <v>38592.211264790814</v>
      </c>
      <c r="H19" s="167">
        <f t="shared" si="1"/>
        <v>39033.491155046824</v>
      </c>
      <c r="I19" s="158">
        <f t="shared" si="1"/>
        <v>40344.73286636451</v>
      </c>
      <c r="J19" s="167">
        <f t="shared" si="1"/>
        <v>40750.96545768566</v>
      </c>
      <c r="K19" s="167">
        <f t="shared" si="1"/>
        <v>42584.75920192638</v>
      </c>
      <c r="L19" s="10"/>
      <c r="M19" s="97">
        <f>D19-C19</f>
        <v>-75.46595059220272</v>
      </c>
      <c r="N19" s="11">
        <f>D19/C19</f>
        <v>0.9978951780783234</v>
      </c>
      <c r="O19" s="97">
        <f>F19-E19</f>
        <v>283.7403795823557</v>
      </c>
      <c r="P19" s="11">
        <f>F19/E19</f>
        <v>1.0076470280007814</v>
      </c>
      <c r="Q19" s="97">
        <f>H19-G19</f>
        <v>441.2798902560098</v>
      </c>
      <c r="R19" s="11">
        <f>H19/G19</f>
        <v>1.0114344287563177</v>
      </c>
      <c r="S19" s="97">
        <f>J19-I19</f>
        <v>406.23259132115345</v>
      </c>
      <c r="T19" s="11">
        <f>J19/I19</f>
        <v>1.0100690365869254</v>
      </c>
    </row>
    <row r="20" spans="1:20" ht="11.25">
      <c r="A20" s="80" t="s">
        <v>24</v>
      </c>
      <c r="B20" s="9" t="s">
        <v>14</v>
      </c>
      <c r="C20" s="161">
        <v>103</v>
      </c>
      <c r="D20" s="165">
        <v>102.8</v>
      </c>
      <c r="E20" s="161">
        <f aca="true" t="shared" si="2" ref="E20:J20">E19/C19*100</f>
        <v>103.48866302440898</v>
      </c>
      <c r="F20" s="165">
        <f t="shared" si="2"/>
        <v>104.4999976141134</v>
      </c>
      <c r="G20" s="161">
        <f t="shared" si="2"/>
        <v>104.0090665235297</v>
      </c>
      <c r="H20" s="165">
        <f t="shared" si="2"/>
        <v>104.40000105336739</v>
      </c>
      <c r="I20" s="161">
        <f t="shared" si="2"/>
        <v>104.54112771499204</v>
      </c>
      <c r="J20" s="165">
        <f t="shared" si="2"/>
        <v>104.40000177236716</v>
      </c>
      <c r="K20" s="163">
        <f>K19/J19*100</f>
        <v>104.50000073285348</v>
      </c>
      <c r="L20" s="10" t="s">
        <v>14</v>
      </c>
      <c r="M20" s="97"/>
      <c r="N20" s="12">
        <f>D20-C20</f>
        <v>-0.20000000000000284</v>
      </c>
      <c r="O20" s="97"/>
      <c r="P20" s="12">
        <f>F20-E20</f>
        <v>1.0113345897044184</v>
      </c>
      <c r="Q20" s="97"/>
      <c r="R20" s="12">
        <f>H20-G20</f>
        <v>0.3909345298376934</v>
      </c>
      <c r="S20" s="97"/>
      <c r="T20" s="12">
        <f>J20-I20</f>
        <v>-0.14112594262488187</v>
      </c>
    </row>
    <row r="21" spans="1:20" s="8" customFormat="1" ht="10.5" customHeight="1">
      <c r="A21" s="81" t="s">
        <v>27</v>
      </c>
      <c r="B21" s="13"/>
      <c r="C21" s="164"/>
      <c r="D21" s="164"/>
      <c r="E21" s="164"/>
      <c r="F21" s="164"/>
      <c r="G21" s="164"/>
      <c r="H21" s="164"/>
      <c r="I21" s="164"/>
      <c r="J21" s="164"/>
      <c r="K21" s="164"/>
      <c r="L21" s="14"/>
      <c r="M21" s="15"/>
      <c r="N21" s="94"/>
      <c r="O21" s="15"/>
      <c r="P21" s="94"/>
      <c r="Q21" s="15"/>
      <c r="R21" s="94"/>
      <c r="S21" s="15"/>
      <c r="T21" s="94"/>
    </row>
    <row r="22" spans="1:20" ht="33.75">
      <c r="A22" s="79" t="s">
        <v>28</v>
      </c>
      <c r="B22" s="9" t="s">
        <v>20</v>
      </c>
      <c r="C22" s="161">
        <v>17.872</v>
      </c>
      <c r="D22" s="162">
        <v>18.07</v>
      </c>
      <c r="E22" s="161">
        <v>17.877</v>
      </c>
      <c r="F22" s="162">
        <v>18.91</v>
      </c>
      <c r="G22" s="161">
        <v>17.939</v>
      </c>
      <c r="H22" s="162">
        <v>18.92</v>
      </c>
      <c r="I22" s="161">
        <v>18</v>
      </c>
      <c r="J22" s="163">
        <v>19.03</v>
      </c>
      <c r="K22" s="170">
        <v>19.14</v>
      </c>
      <c r="L22" s="10"/>
      <c r="M22" s="98">
        <f>D22-C22</f>
        <v>0.1980000000000004</v>
      </c>
      <c r="N22" s="11">
        <f>D22/C22</f>
        <v>1.0110787824529992</v>
      </c>
      <c r="O22" s="98">
        <f>F22-E22</f>
        <v>1.0330000000000013</v>
      </c>
      <c r="P22" s="11">
        <f>F22/E22</f>
        <v>1.0577837444761427</v>
      </c>
      <c r="Q22" s="98">
        <f>H22-G22</f>
        <v>0.9810000000000016</v>
      </c>
      <c r="R22" s="11">
        <f>H22/G22</f>
        <v>1.0546853224817438</v>
      </c>
      <c r="S22" s="98">
        <f>J22-I22</f>
        <v>1.0300000000000011</v>
      </c>
      <c r="T22" s="11">
        <f>J22/I22</f>
        <v>1.0572222222222223</v>
      </c>
    </row>
    <row r="23" spans="1:20" ht="33.75">
      <c r="A23" s="80" t="s">
        <v>29</v>
      </c>
      <c r="B23" s="9" t="s">
        <v>14</v>
      </c>
      <c r="C23" s="161">
        <f aca="true" t="shared" si="3" ref="C23:K23">C22/C15*100</f>
        <v>37.14665779847024</v>
      </c>
      <c r="D23" s="166">
        <f t="shared" si="3"/>
        <v>37.72442588726514</v>
      </c>
      <c r="E23" s="161">
        <f t="shared" si="3"/>
        <v>37.09152021910077</v>
      </c>
      <c r="F23" s="166">
        <f t="shared" si="3"/>
        <v>39.43691345151199</v>
      </c>
      <c r="G23" s="161">
        <f t="shared" si="3"/>
        <v>37.0878041720937</v>
      </c>
      <c r="H23" s="166">
        <f t="shared" si="3"/>
        <v>39.37565036420396</v>
      </c>
      <c r="I23" s="161">
        <f t="shared" si="3"/>
        <v>37.08281829419036</v>
      </c>
      <c r="J23" s="166">
        <f t="shared" si="3"/>
        <v>39.440414507772026</v>
      </c>
      <c r="K23" s="171">
        <f t="shared" si="3"/>
        <v>39.5046439628483</v>
      </c>
      <c r="L23" s="10" t="s">
        <v>14</v>
      </c>
      <c r="M23" s="97"/>
      <c r="N23" s="12">
        <f>D23-C23</f>
        <v>0.5777680887949046</v>
      </c>
      <c r="O23" s="97"/>
      <c r="P23" s="12">
        <f>F23-E23</f>
        <v>2.3453932324112188</v>
      </c>
      <c r="Q23" s="97"/>
      <c r="R23" s="12">
        <f>H23-G23</f>
        <v>2.2878461921102655</v>
      </c>
      <c r="S23" s="97"/>
      <c r="T23" s="12">
        <f>J23-I23</f>
        <v>2.3575962135816653</v>
      </c>
    </row>
    <row r="24" spans="1:20" ht="33.75">
      <c r="A24" s="79" t="s">
        <v>30</v>
      </c>
      <c r="B24" s="9" t="s">
        <v>12</v>
      </c>
      <c r="C24" s="158">
        <v>58061.313</v>
      </c>
      <c r="D24" s="159">
        <v>65313.386</v>
      </c>
      <c r="E24" s="158">
        <v>63129.28</v>
      </c>
      <c r="F24" s="159">
        <v>71168.29</v>
      </c>
      <c r="G24" s="158">
        <v>68210.913</v>
      </c>
      <c r="H24" s="159">
        <v>75977.177</v>
      </c>
      <c r="I24" s="158">
        <v>74066.656</v>
      </c>
      <c r="J24" s="160">
        <v>82633.614</v>
      </c>
      <c r="K24" s="172">
        <v>89864.611</v>
      </c>
      <c r="L24" s="10"/>
      <c r="M24" s="97">
        <f>D24-C24</f>
        <v>7252.072999999997</v>
      </c>
      <c r="N24" s="11">
        <f>D24/C24</f>
        <v>1.1249037030905586</v>
      </c>
      <c r="O24" s="97">
        <f>F24-E24</f>
        <v>8039.009999999995</v>
      </c>
      <c r="P24" s="11">
        <f>F24/E24</f>
        <v>1.1273420194242671</v>
      </c>
      <c r="Q24" s="97">
        <f>H24-G24</f>
        <v>7766.263999999996</v>
      </c>
      <c r="R24" s="11">
        <f>H24/G24</f>
        <v>1.1138566199810285</v>
      </c>
      <c r="S24" s="97">
        <f>J24-I24</f>
        <v>8566.957999999999</v>
      </c>
      <c r="T24" s="11">
        <f>J24/I24</f>
        <v>1.1156655162074551</v>
      </c>
    </row>
    <row r="25" spans="1:20" ht="33.75">
      <c r="A25" s="80" t="s">
        <v>31</v>
      </c>
      <c r="B25" s="9" t="s">
        <v>14</v>
      </c>
      <c r="C25" s="161">
        <f aca="true" t="shared" si="4" ref="C25:K25">C24/C27*100</f>
        <v>46.98163648632756</v>
      </c>
      <c r="D25" s="166">
        <f t="shared" si="4"/>
        <v>42.57185322499616</v>
      </c>
      <c r="E25" s="161">
        <f t="shared" si="4"/>
        <v>46.87110044961874</v>
      </c>
      <c r="F25" s="166">
        <f>F24/F27*100</f>
        <v>43.60684836488587</v>
      </c>
      <c r="G25" s="161">
        <f t="shared" si="4"/>
        <v>47.18260760442444</v>
      </c>
      <c r="H25" s="166">
        <f t="shared" si="4"/>
        <v>43.50922471640729</v>
      </c>
      <c r="I25" s="161">
        <f t="shared" si="4"/>
        <v>47.715259991072784</v>
      </c>
      <c r="J25" s="166">
        <f t="shared" si="4"/>
        <v>43.70271198400027</v>
      </c>
      <c r="K25" s="171">
        <f t="shared" si="4"/>
        <v>43.94419414779139</v>
      </c>
      <c r="L25" s="10" t="s">
        <v>14</v>
      </c>
      <c r="M25" s="97"/>
      <c r="N25" s="12">
        <f>D25-C25</f>
        <v>-4.409783261331398</v>
      </c>
      <c r="O25" s="97"/>
      <c r="P25" s="12">
        <f>F25-E25</f>
        <v>-3.264252084732867</v>
      </c>
      <c r="Q25" s="97"/>
      <c r="R25" s="12">
        <f>H25-G25</f>
        <v>-3.6733828880171515</v>
      </c>
      <c r="S25" s="97"/>
      <c r="T25" s="12">
        <f>J25-I25</f>
        <v>-4.0125480070725175</v>
      </c>
    </row>
    <row r="26" spans="1:20" s="8" customFormat="1" ht="32.25" customHeight="1">
      <c r="A26" s="81" t="s">
        <v>32</v>
      </c>
      <c r="B26" s="13"/>
      <c r="C26" s="164"/>
      <c r="D26" s="164"/>
      <c r="E26" s="164"/>
      <c r="F26" s="164"/>
      <c r="G26" s="164"/>
      <c r="H26" s="164"/>
      <c r="I26" s="164"/>
      <c r="J26" s="164"/>
      <c r="K26" s="164"/>
      <c r="L26" s="14"/>
      <c r="M26" s="15"/>
      <c r="N26" s="94"/>
      <c r="O26" s="15"/>
      <c r="P26" s="94"/>
      <c r="Q26" s="15"/>
      <c r="R26" s="94"/>
      <c r="S26" s="15"/>
      <c r="T26" s="94"/>
    </row>
    <row r="27" spans="1:20" ht="34.5" customHeight="1">
      <c r="A27" s="79" t="s">
        <v>33</v>
      </c>
      <c r="B27" s="9" t="s">
        <v>12</v>
      </c>
      <c r="C27" s="158">
        <v>123582.994</v>
      </c>
      <c r="D27" s="159">
        <v>153419.175</v>
      </c>
      <c r="E27" s="158">
        <v>134687.002</v>
      </c>
      <c r="F27" s="159">
        <v>163204.388</v>
      </c>
      <c r="G27" s="158">
        <v>144567.917</v>
      </c>
      <c r="H27" s="159">
        <v>174623.146</v>
      </c>
      <c r="I27" s="158">
        <v>155226.349</v>
      </c>
      <c r="J27" s="159">
        <v>189081.204</v>
      </c>
      <c r="K27" s="160">
        <v>204497.119</v>
      </c>
      <c r="L27" s="10"/>
      <c r="M27" s="97">
        <f>D27-C27</f>
        <v>29836.180999999982</v>
      </c>
      <c r="N27" s="11">
        <f>D27/C27</f>
        <v>1.2414262677597856</v>
      </c>
      <c r="O27" s="97">
        <f>F27-E27</f>
        <v>28517.386</v>
      </c>
      <c r="P27" s="11">
        <f>F27/E27</f>
        <v>1.211730794928526</v>
      </c>
      <c r="Q27" s="97">
        <f>H27-G27</f>
        <v>30055.22900000002</v>
      </c>
      <c r="R27" s="11">
        <f>H27/G27</f>
        <v>1.2078969499159349</v>
      </c>
      <c r="S27" s="97">
        <f>J27-I27</f>
        <v>33854.85500000001</v>
      </c>
      <c r="T27" s="11">
        <f>J27/I27</f>
        <v>1.2180999245173254</v>
      </c>
    </row>
    <row r="28" spans="1:20" s="8" customFormat="1" ht="21.75" customHeight="1">
      <c r="A28" s="81" t="s">
        <v>34</v>
      </c>
      <c r="B28" s="13"/>
      <c r="C28" s="164"/>
      <c r="D28" s="164"/>
      <c r="E28" s="164"/>
      <c r="F28" s="164"/>
      <c r="G28" s="164"/>
      <c r="H28" s="164"/>
      <c r="I28" s="164"/>
      <c r="J28" s="164"/>
      <c r="K28" s="164"/>
      <c r="L28" s="14"/>
      <c r="M28" s="15"/>
      <c r="N28" s="94"/>
      <c r="O28" s="15"/>
      <c r="P28" s="94"/>
      <c r="Q28" s="15"/>
      <c r="R28" s="94"/>
      <c r="S28" s="15"/>
      <c r="T28" s="94"/>
    </row>
    <row r="29" spans="1:20" ht="22.5">
      <c r="A29" s="79" t="s">
        <v>35</v>
      </c>
      <c r="B29" s="9" t="s">
        <v>12</v>
      </c>
      <c r="C29" s="158">
        <v>3923.3</v>
      </c>
      <c r="D29" s="159">
        <v>6100.1</v>
      </c>
      <c r="E29" s="158">
        <v>4269.8</v>
      </c>
      <c r="F29" s="159">
        <v>5622.3</v>
      </c>
      <c r="G29" s="158">
        <v>4689</v>
      </c>
      <c r="H29" s="159">
        <v>5920.9</v>
      </c>
      <c r="I29" s="158">
        <v>5041.4</v>
      </c>
      <c r="J29" s="159">
        <v>6146.2</v>
      </c>
      <c r="K29" s="160">
        <v>6454.5</v>
      </c>
      <c r="L29" s="10"/>
      <c r="M29" s="97">
        <f>D29-C29</f>
        <v>2176.8</v>
      </c>
      <c r="N29" s="11">
        <f>D29/C29</f>
        <v>1.5548390385644737</v>
      </c>
      <c r="O29" s="97">
        <f>F29-E29</f>
        <v>1352.5</v>
      </c>
      <c r="P29" s="11">
        <f>F29/E29</f>
        <v>1.3167595671928427</v>
      </c>
      <c r="Q29" s="97">
        <f>H29-G29</f>
        <v>1231.8999999999996</v>
      </c>
      <c r="R29" s="11">
        <f>H29/G29</f>
        <v>1.2627212625293238</v>
      </c>
      <c r="S29" s="97">
        <f>J29-I29</f>
        <v>1104.8000000000002</v>
      </c>
      <c r="T29" s="11">
        <f>J29/I29</f>
        <v>1.219145475463165</v>
      </c>
    </row>
    <row r="30" spans="1:20" s="8" customFormat="1" ht="10.5" customHeight="1">
      <c r="A30" s="81" t="s">
        <v>36</v>
      </c>
      <c r="B30" s="13"/>
      <c r="C30" s="164"/>
      <c r="D30" s="164"/>
      <c r="E30" s="164"/>
      <c r="F30" s="164"/>
      <c r="G30" s="164"/>
      <c r="H30" s="164"/>
      <c r="I30" s="164"/>
      <c r="J30" s="164"/>
      <c r="K30" s="164"/>
      <c r="L30" s="14"/>
      <c r="M30" s="15"/>
      <c r="N30" s="94"/>
      <c r="O30" s="15"/>
      <c r="P30" s="94"/>
      <c r="Q30" s="15"/>
      <c r="R30" s="94"/>
      <c r="S30" s="15"/>
      <c r="T30" s="94"/>
    </row>
    <row r="31" spans="1:20" ht="25.5" customHeight="1">
      <c r="A31" s="79" t="s">
        <v>37</v>
      </c>
      <c r="B31" s="9" t="s">
        <v>38</v>
      </c>
      <c r="C31" s="158">
        <v>5360</v>
      </c>
      <c r="D31" s="159">
        <v>5262</v>
      </c>
      <c r="E31" s="158">
        <v>5440</v>
      </c>
      <c r="F31" s="159">
        <v>5322</v>
      </c>
      <c r="G31" s="158">
        <v>5520</v>
      </c>
      <c r="H31" s="159">
        <v>5382</v>
      </c>
      <c r="I31" s="158">
        <v>5600</v>
      </c>
      <c r="J31" s="159">
        <v>5442</v>
      </c>
      <c r="K31" s="160">
        <v>5502</v>
      </c>
      <c r="L31" s="10"/>
      <c r="M31" s="97">
        <f>D31-C31</f>
        <v>-98</v>
      </c>
      <c r="N31" s="11">
        <f>D31/C31</f>
        <v>0.9817164179104477</v>
      </c>
      <c r="O31" s="97">
        <f>F31-E31</f>
        <v>-118</v>
      </c>
      <c r="P31" s="11">
        <f>F31/E31</f>
        <v>0.9783088235294117</v>
      </c>
      <c r="Q31" s="97">
        <f>H31-G31</f>
        <v>-138</v>
      </c>
      <c r="R31" s="11">
        <f>H31/G31</f>
        <v>0.975</v>
      </c>
      <c r="S31" s="97">
        <f>J31-I31</f>
        <v>-158</v>
      </c>
      <c r="T31" s="11">
        <f>J31/I31</f>
        <v>0.9717857142857143</v>
      </c>
    </row>
    <row r="32" spans="1:20" ht="32.25" customHeight="1">
      <c r="A32" s="79" t="s">
        <v>39</v>
      </c>
      <c r="B32" s="9" t="s">
        <v>38</v>
      </c>
      <c r="C32" s="158">
        <v>2551</v>
      </c>
      <c r="D32" s="159">
        <v>2580</v>
      </c>
      <c r="E32" s="158">
        <v>2583</v>
      </c>
      <c r="F32" s="159">
        <v>2611</v>
      </c>
      <c r="G32" s="158">
        <v>2620</v>
      </c>
      <c r="H32" s="159">
        <v>2648</v>
      </c>
      <c r="I32" s="158">
        <v>2657</v>
      </c>
      <c r="J32" s="159">
        <v>2685</v>
      </c>
      <c r="K32" s="160">
        <v>2722</v>
      </c>
      <c r="L32" s="10"/>
      <c r="M32" s="97">
        <f>D32-C32</f>
        <v>29</v>
      </c>
      <c r="N32" s="11">
        <f>D32/C32</f>
        <v>1.0113680909447276</v>
      </c>
      <c r="O32" s="97">
        <f>F32-E32</f>
        <v>28</v>
      </c>
      <c r="P32" s="11">
        <f>F32/E32</f>
        <v>1.010840108401084</v>
      </c>
      <c r="Q32" s="97">
        <f>H32-G32</f>
        <v>28</v>
      </c>
      <c r="R32" s="11">
        <f>H32/G32</f>
        <v>1.0106870229007634</v>
      </c>
      <c r="S32" s="97">
        <f>J32-I32</f>
        <v>28</v>
      </c>
      <c r="T32" s="11">
        <f>J32/I32</f>
        <v>1.0105382009785473</v>
      </c>
    </row>
    <row r="33" spans="1:20" s="8" customFormat="1" ht="22.5" customHeight="1">
      <c r="A33" s="81" t="s">
        <v>40</v>
      </c>
      <c r="B33" s="13"/>
      <c r="C33" s="164"/>
      <c r="D33" s="164"/>
      <c r="E33" s="164"/>
      <c r="F33" s="164"/>
      <c r="G33" s="164"/>
      <c r="H33" s="164"/>
      <c r="I33" s="164"/>
      <c r="J33" s="164"/>
      <c r="K33" s="164"/>
      <c r="L33" s="14"/>
      <c r="M33" s="15"/>
      <c r="N33" s="94"/>
      <c r="O33" s="15"/>
      <c r="P33" s="94"/>
      <c r="Q33" s="15"/>
      <c r="R33" s="94"/>
      <c r="S33" s="15"/>
      <c r="T33" s="94"/>
    </row>
    <row r="34" spans="1:20" ht="35.25" customHeight="1">
      <c r="A34" s="82" t="s">
        <v>41</v>
      </c>
      <c r="B34" s="83" t="s">
        <v>12</v>
      </c>
      <c r="C34" s="168">
        <v>21034.65</v>
      </c>
      <c r="D34" s="169">
        <v>22711.383</v>
      </c>
      <c r="E34" s="168">
        <v>23046.158</v>
      </c>
      <c r="F34" s="169">
        <v>23890.354</v>
      </c>
      <c r="G34" s="168">
        <v>24245.929</v>
      </c>
      <c r="H34" s="169">
        <v>25028.478</v>
      </c>
      <c r="I34" s="168">
        <v>24742.737</v>
      </c>
      <c r="J34" s="169">
        <v>25468.258</v>
      </c>
      <c r="K34" s="169">
        <v>25716.129</v>
      </c>
      <c r="L34" s="84"/>
      <c r="M34" s="97">
        <f>D34-C34</f>
        <v>1676.7330000000002</v>
      </c>
      <c r="N34" s="11">
        <f>D34/C34</f>
        <v>1.0797129022826621</v>
      </c>
      <c r="O34" s="97">
        <f>F34-E34</f>
        <v>844.1959999999999</v>
      </c>
      <c r="P34" s="11">
        <f>F34/E34</f>
        <v>1.0366306609544202</v>
      </c>
      <c r="Q34" s="97">
        <f>H34-G34</f>
        <v>782.5489999999991</v>
      </c>
      <c r="R34" s="11">
        <f>H34/G34</f>
        <v>1.0322754801434912</v>
      </c>
      <c r="S34" s="97">
        <f>J34-I34</f>
        <v>725.5210000000006</v>
      </c>
      <c r="T34" s="11">
        <f>J34/I34</f>
        <v>1.029322584643728</v>
      </c>
    </row>
  </sheetData>
  <sheetProtection/>
  <mergeCells count="15">
    <mergeCell ref="G3:H3"/>
    <mergeCell ref="I3:J3"/>
    <mergeCell ref="L3:L4"/>
    <mergeCell ref="A3:A4"/>
    <mergeCell ref="B3:B4"/>
    <mergeCell ref="C3:D3"/>
    <mergeCell ref="E3:F3"/>
    <mergeCell ref="S4:T4"/>
    <mergeCell ref="M3:N3"/>
    <mergeCell ref="O3:P3"/>
    <mergeCell ref="Q3:R3"/>
    <mergeCell ref="S3:T3"/>
    <mergeCell ref="M4:N4"/>
    <mergeCell ref="O4:P4"/>
    <mergeCell ref="Q4:R4"/>
  </mergeCells>
  <printOptions/>
  <pageMargins left="0.1968503937007874" right="0.11811023622047245" top="1.1811023622047245" bottom="0.5905511811023623" header="0.5118110236220472" footer="0.11811023622047245"/>
  <pageSetup firstPageNumber="189" useFirstPageNumber="1" horizontalDpi="600" verticalDpi="600" orientation="landscape" paperSize="9" r:id="rId1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38"/>
  <sheetViews>
    <sheetView zoomScale="59" zoomScaleNormal="59" zoomScaleSheetLayoutView="100" zoomScalePageLayoutView="0" workbookViewId="0" topLeftCell="A1">
      <selection activeCell="K17" sqref="K17"/>
    </sheetView>
  </sheetViews>
  <sheetFormatPr defaultColWidth="9.00390625" defaultRowHeight="12.75"/>
  <cols>
    <col min="1" max="1" width="57.25390625" style="18" customWidth="1"/>
    <col min="2" max="2" width="9.00390625" style="18" customWidth="1"/>
    <col min="3" max="7" width="15.75390625" style="18" customWidth="1"/>
    <col min="8" max="16384" width="9.125" style="18" customWidth="1"/>
  </cols>
  <sheetData>
    <row r="1" spans="1:7" ht="15.75" customHeight="1">
      <c r="A1" s="189" t="s">
        <v>42</v>
      </c>
      <c r="B1" s="189" t="s">
        <v>43</v>
      </c>
      <c r="C1" s="200" t="s">
        <v>44</v>
      </c>
      <c r="D1" s="201"/>
      <c r="E1" s="201"/>
      <c r="F1" s="201"/>
      <c r="G1" s="202"/>
    </row>
    <row r="2" spans="1:7" ht="9" customHeight="1">
      <c r="A2" s="189"/>
      <c r="B2" s="189"/>
      <c r="C2" s="189" t="s">
        <v>161</v>
      </c>
      <c r="D2" s="189" t="s">
        <v>162</v>
      </c>
      <c r="E2" s="189" t="s">
        <v>45</v>
      </c>
      <c r="F2" s="189" t="s">
        <v>136</v>
      </c>
      <c r="G2" s="189" t="s">
        <v>163</v>
      </c>
    </row>
    <row r="3" spans="1:7" ht="6.75" customHeight="1">
      <c r="A3" s="189"/>
      <c r="B3" s="189"/>
      <c r="C3" s="189"/>
      <c r="D3" s="189"/>
      <c r="E3" s="189"/>
      <c r="F3" s="189"/>
      <c r="G3" s="189"/>
    </row>
    <row r="4" spans="1:7" ht="17.25" customHeight="1">
      <c r="A4" s="203" t="s">
        <v>36</v>
      </c>
      <c r="B4" s="204"/>
      <c r="C4" s="204"/>
      <c r="D4" s="204"/>
      <c r="E4" s="204"/>
      <c r="F4" s="204"/>
      <c r="G4" s="205"/>
    </row>
    <row r="5" spans="1:7" ht="12.75" customHeight="1">
      <c r="A5" s="27" t="s">
        <v>109</v>
      </c>
      <c r="B5" s="86" t="s">
        <v>38</v>
      </c>
      <c r="C5" s="21">
        <v>5262</v>
      </c>
      <c r="D5" s="21">
        <f>C5+60</f>
        <v>5322</v>
      </c>
      <c r="E5" s="21">
        <f>D5+60</f>
        <v>5382</v>
      </c>
      <c r="F5" s="21">
        <f>E5+60</f>
        <v>5442</v>
      </c>
      <c r="G5" s="21">
        <f>F5+60</f>
        <v>5502</v>
      </c>
    </row>
    <row r="6" spans="1:7" ht="12.75" customHeight="1">
      <c r="A6" s="53" t="s">
        <v>110</v>
      </c>
      <c r="B6" s="86" t="s">
        <v>38</v>
      </c>
      <c r="C6" s="21">
        <f>SUM(C7:C18)</f>
        <v>2580</v>
      </c>
      <c r="D6" s="21">
        <f>SUM(D7:D18)</f>
        <v>2611</v>
      </c>
      <c r="E6" s="21">
        <f>SUM(E7:E18)</f>
        <v>2648</v>
      </c>
      <c r="F6" s="21">
        <f>SUM(F7:F18)</f>
        <v>2685</v>
      </c>
      <c r="G6" s="21">
        <f>SUM(G7:G18)</f>
        <v>2722</v>
      </c>
    </row>
    <row r="7" spans="1:7" ht="12.75" customHeight="1">
      <c r="A7" s="69" t="s">
        <v>98</v>
      </c>
      <c r="B7" s="86" t="s">
        <v>38</v>
      </c>
      <c r="C7" s="21">
        <v>1</v>
      </c>
      <c r="D7" s="21">
        <v>1</v>
      </c>
      <c r="E7" s="21">
        <v>1</v>
      </c>
      <c r="F7" s="21">
        <v>1</v>
      </c>
      <c r="G7" s="21">
        <v>1</v>
      </c>
    </row>
    <row r="8" spans="1:7" ht="12.75" customHeight="1">
      <c r="A8" s="69" t="s">
        <v>99</v>
      </c>
      <c r="B8" s="86" t="s">
        <v>38</v>
      </c>
      <c r="C8" s="34">
        <v>400</v>
      </c>
      <c r="D8" s="34">
        <v>410</v>
      </c>
      <c r="E8" s="34">
        <v>420</v>
      </c>
      <c r="F8" s="34">
        <v>430</v>
      </c>
      <c r="G8" s="34">
        <v>440</v>
      </c>
    </row>
    <row r="9" spans="1:7" ht="12.75" customHeight="1">
      <c r="A9" s="69" t="s">
        <v>100</v>
      </c>
      <c r="B9" s="86" t="s">
        <v>38</v>
      </c>
      <c r="C9" s="34">
        <v>314</v>
      </c>
      <c r="D9" s="34">
        <v>317</v>
      </c>
      <c r="E9" s="34">
        <v>324</v>
      </c>
      <c r="F9" s="34">
        <v>331</v>
      </c>
      <c r="G9" s="34">
        <v>338</v>
      </c>
    </row>
    <row r="10" spans="1:7" ht="12.75" customHeight="1">
      <c r="A10" s="69" t="s">
        <v>101</v>
      </c>
      <c r="B10" s="86" t="s">
        <v>38</v>
      </c>
      <c r="C10" s="34">
        <v>700</v>
      </c>
      <c r="D10" s="34">
        <v>710</v>
      </c>
      <c r="E10" s="34">
        <v>720</v>
      </c>
      <c r="F10" s="34">
        <v>730</v>
      </c>
      <c r="G10" s="34">
        <v>740</v>
      </c>
    </row>
    <row r="11" spans="1:7" ht="12.75" customHeight="1">
      <c r="A11" s="69" t="s">
        <v>102</v>
      </c>
      <c r="B11" s="86" t="s">
        <v>38</v>
      </c>
      <c r="C11" s="21">
        <v>80</v>
      </c>
      <c r="D11" s="21">
        <v>80</v>
      </c>
      <c r="E11" s="21">
        <v>80</v>
      </c>
      <c r="F11" s="21">
        <v>80</v>
      </c>
      <c r="G11" s="21">
        <v>80</v>
      </c>
    </row>
    <row r="12" spans="1:7" ht="12.75" customHeight="1">
      <c r="A12" s="69" t="s">
        <v>111</v>
      </c>
      <c r="B12" s="86" t="s">
        <v>38</v>
      </c>
      <c r="C12" s="34">
        <v>50</v>
      </c>
      <c r="D12" s="34">
        <v>50</v>
      </c>
      <c r="E12" s="34">
        <v>50</v>
      </c>
      <c r="F12" s="34">
        <v>50</v>
      </c>
      <c r="G12" s="34">
        <v>50</v>
      </c>
    </row>
    <row r="13" spans="1:7" ht="25.5" customHeight="1">
      <c r="A13" s="69" t="s">
        <v>103</v>
      </c>
      <c r="B13" s="86" t="s">
        <v>38</v>
      </c>
      <c r="C13" s="34">
        <v>675</v>
      </c>
      <c r="D13" s="34">
        <v>679</v>
      </c>
      <c r="E13" s="34">
        <v>683</v>
      </c>
      <c r="F13" s="34">
        <v>687</v>
      </c>
      <c r="G13" s="34">
        <v>691</v>
      </c>
    </row>
    <row r="14" spans="1:7" ht="12.75" customHeight="1">
      <c r="A14" s="69" t="s">
        <v>112</v>
      </c>
      <c r="B14" s="86" t="s">
        <v>38</v>
      </c>
      <c r="C14" s="34">
        <v>21</v>
      </c>
      <c r="D14" s="34">
        <v>21</v>
      </c>
      <c r="E14" s="34">
        <v>21</v>
      </c>
      <c r="F14" s="34">
        <v>21</v>
      </c>
      <c r="G14" s="34">
        <v>21</v>
      </c>
    </row>
    <row r="15" spans="1:7" ht="12.75" customHeight="1">
      <c r="A15" s="69" t="s">
        <v>113</v>
      </c>
      <c r="B15" s="86" t="s">
        <v>38</v>
      </c>
      <c r="C15" s="34">
        <v>89</v>
      </c>
      <c r="D15" s="34">
        <v>89</v>
      </c>
      <c r="E15" s="34">
        <v>89</v>
      </c>
      <c r="F15" s="34">
        <v>89</v>
      </c>
      <c r="G15" s="34">
        <v>89</v>
      </c>
    </row>
    <row r="16" spans="1:7" ht="12.75" customHeight="1">
      <c r="A16" s="69" t="s">
        <v>114</v>
      </c>
      <c r="B16" s="86" t="s">
        <v>38</v>
      </c>
      <c r="C16" s="34">
        <v>55</v>
      </c>
      <c r="D16" s="34">
        <v>55</v>
      </c>
      <c r="E16" s="34">
        <v>55</v>
      </c>
      <c r="F16" s="34">
        <v>55</v>
      </c>
      <c r="G16" s="34">
        <v>55</v>
      </c>
    </row>
    <row r="17" spans="1:7" ht="25.5" customHeight="1">
      <c r="A17" s="69" t="s">
        <v>104</v>
      </c>
      <c r="B17" s="86" t="s">
        <v>38</v>
      </c>
      <c r="C17" s="34">
        <v>149</v>
      </c>
      <c r="D17" s="34">
        <v>152</v>
      </c>
      <c r="E17" s="34">
        <v>157</v>
      </c>
      <c r="F17" s="34">
        <v>162</v>
      </c>
      <c r="G17" s="34">
        <v>167</v>
      </c>
    </row>
    <row r="18" spans="1:7" ht="12.75" customHeight="1">
      <c r="A18" s="69" t="s">
        <v>115</v>
      </c>
      <c r="B18" s="86" t="s">
        <v>38</v>
      </c>
      <c r="C18" s="34">
        <v>46</v>
      </c>
      <c r="D18" s="34">
        <v>47</v>
      </c>
      <c r="E18" s="34">
        <v>48</v>
      </c>
      <c r="F18" s="34">
        <v>49</v>
      </c>
      <c r="G18" s="34">
        <v>50</v>
      </c>
    </row>
    <row r="19" spans="3:7" s="59" customFormat="1" ht="7.5" customHeight="1">
      <c r="C19" s="70"/>
      <c r="D19" s="70"/>
      <c r="E19" s="70"/>
      <c r="F19" s="70"/>
      <c r="G19" s="70"/>
    </row>
    <row r="20" spans="1:7" ht="15" customHeight="1">
      <c r="A20" s="189" t="s">
        <v>42</v>
      </c>
      <c r="B20" s="189" t="s">
        <v>43</v>
      </c>
      <c r="C20" s="200" t="s">
        <v>57</v>
      </c>
      <c r="D20" s="201"/>
      <c r="E20" s="201"/>
      <c r="F20" s="201"/>
      <c r="G20" s="202"/>
    </row>
    <row r="21" spans="1:7" ht="9" customHeight="1">
      <c r="A21" s="189"/>
      <c r="B21" s="189"/>
      <c r="C21" s="189" t="s">
        <v>161</v>
      </c>
      <c r="D21" s="189" t="s">
        <v>162</v>
      </c>
      <c r="E21" s="189" t="s">
        <v>45</v>
      </c>
      <c r="F21" s="189" t="s">
        <v>136</v>
      </c>
      <c r="G21" s="189" t="s">
        <v>163</v>
      </c>
    </row>
    <row r="22" spans="1:7" ht="5.25" customHeight="1">
      <c r="A22" s="227"/>
      <c r="B22" s="227"/>
      <c r="C22" s="189"/>
      <c r="D22" s="189"/>
      <c r="E22" s="189"/>
      <c r="F22" s="189"/>
      <c r="G22" s="189"/>
    </row>
    <row r="23" spans="1:7" ht="17.25" customHeight="1">
      <c r="A23" s="203" t="s">
        <v>36</v>
      </c>
      <c r="B23" s="204"/>
      <c r="C23" s="204"/>
      <c r="D23" s="204"/>
      <c r="E23" s="204"/>
      <c r="F23" s="204"/>
      <c r="G23" s="205"/>
    </row>
    <row r="24" spans="1:7" ht="12.75" customHeight="1">
      <c r="A24" s="27" t="s">
        <v>109</v>
      </c>
      <c r="B24" s="86" t="s">
        <v>38</v>
      </c>
      <c r="C24" s="21">
        <f>SUM(C27:C38)</f>
        <v>253</v>
      </c>
      <c r="D24" s="21">
        <f>SUM(D27:D38)</f>
        <v>240</v>
      </c>
      <c r="E24" s="21">
        <f>SUM(E27:E38)</f>
        <v>240</v>
      </c>
      <c r="F24" s="21">
        <f>SUM(F27:F38)</f>
        <v>240</v>
      </c>
      <c r="G24" s="21">
        <f>SUM(G27:G38)</f>
        <v>240</v>
      </c>
    </row>
    <row r="25" spans="1:7" ht="12.75" customHeight="1">
      <c r="A25" s="53" t="s">
        <v>110</v>
      </c>
      <c r="B25" s="86" t="s">
        <v>38</v>
      </c>
      <c r="C25" s="21"/>
      <c r="D25" s="21"/>
      <c r="E25" s="21"/>
      <c r="F25" s="21"/>
      <c r="G25" s="21"/>
    </row>
    <row r="26" spans="1:7" s="59" customFormat="1" ht="10.5" customHeight="1">
      <c r="A26" s="34" t="s">
        <v>116</v>
      </c>
      <c r="B26" s="152"/>
      <c r="C26" s="153"/>
      <c r="D26" s="153"/>
      <c r="E26" s="153"/>
      <c r="F26" s="153"/>
      <c r="G26" s="153"/>
    </row>
    <row r="27" spans="1:7" ht="12.75" customHeight="1">
      <c r="A27" s="69" t="s">
        <v>98</v>
      </c>
      <c r="B27" s="86" t="s">
        <v>38</v>
      </c>
      <c r="C27" s="21" t="s">
        <v>59</v>
      </c>
      <c r="D27" s="21" t="s">
        <v>59</v>
      </c>
      <c r="E27" s="21" t="s">
        <v>59</v>
      </c>
      <c r="F27" s="21" t="s">
        <v>59</v>
      </c>
      <c r="G27" s="21" t="s">
        <v>59</v>
      </c>
    </row>
    <row r="28" spans="1:7" ht="12.75" customHeight="1">
      <c r="A28" s="69" t="s">
        <v>99</v>
      </c>
      <c r="B28" s="86" t="s">
        <v>38</v>
      </c>
      <c r="C28" s="34">
        <v>36</v>
      </c>
      <c r="D28" s="34">
        <v>33</v>
      </c>
      <c r="E28" s="34">
        <v>33</v>
      </c>
      <c r="F28" s="34">
        <v>33</v>
      </c>
      <c r="G28" s="34">
        <v>33</v>
      </c>
    </row>
    <row r="29" spans="1:7" ht="12.75" customHeight="1">
      <c r="A29" s="69" t="s">
        <v>100</v>
      </c>
      <c r="B29" s="86" t="s">
        <v>38</v>
      </c>
      <c r="C29" s="34">
        <v>3</v>
      </c>
      <c r="D29" s="34">
        <v>3</v>
      </c>
      <c r="E29" s="34">
        <v>3</v>
      </c>
      <c r="F29" s="34">
        <v>3</v>
      </c>
      <c r="G29" s="34">
        <v>3</v>
      </c>
    </row>
    <row r="30" spans="1:7" ht="12.75" customHeight="1">
      <c r="A30" s="69" t="s">
        <v>101</v>
      </c>
      <c r="B30" s="86" t="s">
        <v>38</v>
      </c>
      <c r="C30" s="34">
        <v>27</v>
      </c>
      <c r="D30" s="34">
        <v>30</v>
      </c>
      <c r="E30" s="34">
        <v>30</v>
      </c>
      <c r="F30" s="34">
        <v>30</v>
      </c>
      <c r="G30" s="34">
        <v>30</v>
      </c>
    </row>
    <row r="31" spans="1:7" ht="12.75" customHeight="1">
      <c r="A31" s="69" t="s">
        <v>102</v>
      </c>
      <c r="B31" s="86" t="s">
        <v>38</v>
      </c>
      <c r="C31" s="21">
        <v>4</v>
      </c>
      <c r="D31" s="21">
        <v>4</v>
      </c>
      <c r="E31" s="21">
        <v>4</v>
      </c>
      <c r="F31" s="21">
        <v>4</v>
      </c>
      <c r="G31" s="21">
        <v>4</v>
      </c>
    </row>
    <row r="32" spans="1:7" ht="12.75" customHeight="1">
      <c r="A32" s="69" t="s">
        <v>111</v>
      </c>
      <c r="B32" s="86" t="s">
        <v>38</v>
      </c>
      <c r="C32" s="34">
        <v>1</v>
      </c>
      <c r="D32" s="34">
        <v>1</v>
      </c>
      <c r="E32" s="34">
        <v>1</v>
      </c>
      <c r="F32" s="34">
        <v>1</v>
      </c>
      <c r="G32" s="34">
        <v>1</v>
      </c>
    </row>
    <row r="33" spans="1:7" ht="25.5" customHeight="1">
      <c r="A33" s="69" t="s">
        <v>103</v>
      </c>
      <c r="B33" s="86" t="s">
        <v>38</v>
      </c>
      <c r="C33" s="34">
        <v>38</v>
      </c>
      <c r="D33" s="34">
        <v>31</v>
      </c>
      <c r="E33" s="34">
        <v>31</v>
      </c>
      <c r="F33" s="34">
        <v>31</v>
      </c>
      <c r="G33" s="34">
        <v>31</v>
      </c>
    </row>
    <row r="34" spans="1:7" ht="12.75" customHeight="1">
      <c r="A34" s="69" t="s">
        <v>112</v>
      </c>
      <c r="B34" s="86" t="s">
        <v>38</v>
      </c>
      <c r="C34" s="34">
        <v>21</v>
      </c>
      <c r="D34" s="34">
        <v>21</v>
      </c>
      <c r="E34" s="34">
        <v>21</v>
      </c>
      <c r="F34" s="34">
        <v>21</v>
      </c>
      <c r="G34" s="34">
        <v>21</v>
      </c>
    </row>
    <row r="35" spans="1:7" ht="12.75" customHeight="1">
      <c r="A35" s="69" t="s">
        <v>113</v>
      </c>
      <c r="B35" s="86" t="s">
        <v>38</v>
      </c>
      <c r="C35" s="34">
        <v>77</v>
      </c>
      <c r="D35" s="34">
        <v>75</v>
      </c>
      <c r="E35" s="34">
        <v>75</v>
      </c>
      <c r="F35" s="34">
        <v>75</v>
      </c>
      <c r="G35" s="34">
        <v>75</v>
      </c>
    </row>
    <row r="36" spans="1:7" ht="12.75" customHeight="1">
      <c r="A36" s="69" t="s">
        <v>114</v>
      </c>
      <c r="B36" s="86" t="s">
        <v>38</v>
      </c>
      <c r="C36" s="34">
        <v>7</v>
      </c>
      <c r="D36" s="34">
        <v>7</v>
      </c>
      <c r="E36" s="34">
        <v>7</v>
      </c>
      <c r="F36" s="34">
        <v>7</v>
      </c>
      <c r="G36" s="34">
        <v>7</v>
      </c>
    </row>
    <row r="37" spans="1:7" ht="25.5" customHeight="1">
      <c r="A37" s="69" t="s">
        <v>104</v>
      </c>
      <c r="B37" s="86" t="s">
        <v>38</v>
      </c>
      <c r="C37" s="34">
        <v>38</v>
      </c>
      <c r="D37" s="34">
        <v>34</v>
      </c>
      <c r="E37" s="34">
        <v>34</v>
      </c>
      <c r="F37" s="34">
        <v>34</v>
      </c>
      <c r="G37" s="34">
        <v>34</v>
      </c>
    </row>
    <row r="38" spans="1:7" ht="12.75" customHeight="1">
      <c r="A38" s="69" t="s">
        <v>117</v>
      </c>
      <c r="B38" s="86" t="s">
        <v>38</v>
      </c>
      <c r="C38" s="34">
        <v>1</v>
      </c>
      <c r="D38" s="34">
        <v>1</v>
      </c>
      <c r="E38" s="34">
        <v>1</v>
      </c>
      <c r="F38" s="34">
        <v>1</v>
      </c>
      <c r="G38" s="34">
        <v>1</v>
      </c>
    </row>
  </sheetData>
  <sheetProtection/>
  <mergeCells count="18">
    <mergeCell ref="G21:G22"/>
    <mergeCell ref="A23:G23"/>
    <mergeCell ref="A4:G4"/>
    <mergeCell ref="A20:A22"/>
    <mergeCell ref="B20:B22"/>
    <mergeCell ref="C20:G20"/>
    <mergeCell ref="C21:C22"/>
    <mergeCell ref="D21:D22"/>
    <mergeCell ref="E21:E22"/>
    <mergeCell ref="F21:F22"/>
    <mergeCell ref="A1:A3"/>
    <mergeCell ref="B1:B3"/>
    <mergeCell ref="C1:G1"/>
    <mergeCell ref="C2:C3"/>
    <mergeCell ref="D2:D3"/>
    <mergeCell ref="E2:E3"/>
    <mergeCell ref="F2:F3"/>
    <mergeCell ref="G2:G3"/>
  </mergeCells>
  <printOptions horizontalCentered="1"/>
  <pageMargins left="0.1968503937007874" right="0.1968503937007874" top="0.65" bottom="0.15748031496062992" header="0.2755905511811024" footer="0.11811023622047245"/>
  <pageSetup firstPageNumber="199" useFirstPageNumber="1" fitToHeight="8" horizontalDpi="300" verticalDpi="300" orientation="landscape" paperSize="9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"/>
  <sheetViews>
    <sheetView zoomScale="39" zoomScaleNormal="39" zoomScaleSheetLayoutView="100" zoomScalePageLayoutView="0" workbookViewId="0" topLeftCell="A1">
      <selection activeCell="G15" sqref="G15"/>
    </sheetView>
  </sheetViews>
  <sheetFormatPr defaultColWidth="9.00390625" defaultRowHeight="12.75"/>
  <cols>
    <col min="1" max="1" width="4.625" style="89" customWidth="1"/>
    <col min="2" max="2" width="54.625" style="89" customWidth="1"/>
    <col min="3" max="3" width="8.625" style="89" customWidth="1"/>
    <col min="4" max="4" width="10.125" style="89" customWidth="1"/>
    <col min="5" max="5" width="9.875" style="89" customWidth="1"/>
    <col min="6" max="6" width="9.625" style="89" customWidth="1"/>
    <col min="7" max="7" width="9.375" style="89" customWidth="1"/>
    <col min="8" max="8" width="9.875" style="89" customWidth="1"/>
    <col min="9" max="13" width="9.75390625" style="89" customWidth="1"/>
    <col min="14" max="14" width="10.00390625" style="89" customWidth="1"/>
    <col min="15" max="15" width="9.625" style="89" customWidth="1"/>
    <col min="16" max="17" width="9.375" style="89" customWidth="1"/>
    <col min="18" max="18" width="9.625" style="89" customWidth="1"/>
    <col min="19" max="16384" width="9.125" style="89" customWidth="1"/>
  </cols>
  <sheetData>
    <row r="1" spans="1:18" ht="42.75" customHeight="1">
      <c r="A1" s="221" t="s">
        <v>105</v>
      </c>
      <c r="B1" s="221" t="s">
        <v>80</v>
      </c>
      <c r="C1" s="217" t="s">
        <v>196</v>
      </c>
      <c r="D1" s="228" t="s">
        <v>204</v>
      </c>
      <c r="E1" s="229"/>
      <c r="F1" s="229"/>
      <c r="G1" s="229"/>
      <c r="H1" s="230"/>
      <c r="I1" s="234" t="s">
        <v>47</v>
      </c>
      <c r="J1" s="234"/>
      <c r="K1" s="234"/>
      <c r="L1" s="234"/>
      <c r="M1" s="234"/>
      <c r="N1" s="234"/>
      <c r="O1" s="234"/>
      <c r="P1" s="234"/>
      <c r="Q1" s="234"/>
      <c r="R1" s="234"/>
    </row>
    <row r="2" spans="1:18" ht="95.25" customHeight="1">
      <c r="A2" s="221"/>
      <c r="B2" s="221"/>
      <c r="C2" s="217"/>
      <c r="D2" s="231"/>
      <c r="E2" s="232"/>
      <c r="F2" s="232"/>
      <c r="G2" s="232"/>
      <c r="H2" s="233"/>
      <c r="I2" s="221" t="s">
        <v>197</v>
      </c>
      <c r="J2" s="221"/>
      <c r="K2" s="221"/>
      <c r="L2" s="221"/>
      <c r="M2" s="221"/>
      <c r="N2" s="221" t="s">
        <v>198</v>
      </c>
      <c r="O2" s="221"/>
      <c r="P2" s="221"/>
      <c r="Q2" s="221"/>
      <c r="R2" s="221"/>
    </row>
    <row r="3" spans="1:18" ht="38.25" customHeight="1">
      <c r="A3" s="221"/>
      <c r="B3" s="221"/>
      <c r="C3" s="217"/>
      <c r="D3" s="140">
        <v>2016</v>
      </c>
      <c r="E3" s="140">
        <v>2017</v>
      </c>
      <c r="F3" s="217" t="s">
        <v>9</v>
      </c>
      <c r="G3" s="217"/>
      <c r="H3" s="217"/>
      <c r="I3" s="140">
        <v>2016</v>
      </c>
      <c r="J3" s="140">
        <v>2017</v>
      </c>
      <c r="K3" s="217" t="s">
        <v>9</v>
      </c>
      <c r="L3" s="217"/>
      <c r="M3" s="217"/>
      <c r="N3" s="140">
        <v>2016</v>
      </c>
      <c r="O3" s="140">
        <v>2017</v>
      </c>
      <c r="P3" s="217" t="s">
        <v>9</v>
      </c>
      <c r="Q3" s="217"/>
      <c r="R3" s="217"/>
    </row>
    <row r="4" spans="1:18" ht="38.25" customHeight="1">
      <c r="A4" s="221"/>
      <c r="B4" s="221"/>
      <c r="C4" s="217"/>
      <c r="D4" s="140" t="s">
        <v>6</v>
      </c>
      <c r="E4" s="140" t="s">
        <v>7</v>
      </c>
      <c r="F4" s="140">
        <v>2018</v>
      </c>
      <c r="G4" s="140">
        <v>2019</v>
      </c>
      <c r="H4" s="140">
        <v>2020</v>
      </c>
      <c r="I4" s="140" t="s">
        <v>6</v>
      </c>
      <c r="J4" s="140" t="s">
        <v>7</v>
      </c>
      <c r="K4" s="140">
        <v>2018</v>
      </c>
      <c r="L4" s="140">
        <v>2019</v>
      </c>
      <c r="M4" s="140">
        <v>2020</v>
      </c>
      <c r="N4" s="140" t="s">
        <v>6</v>
      </c>
      <c r="O4" s="140" t="s">
        <v>7</v>
      </c>
      <c r="P4" s="140">
        <v>2018</v>
      </c>
      <c r="Q4" s="140">
        <v>2019</v>
      </c>
      <c r="R4" s="140">
        <v>2020</v>
      </c>
    </row>
    <row r="5" spans="1:18" ht="42.75" customHeight="1">
      <c r="A5" s="218" t="s">
        <v>118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20"/>
    </row>
    <row r="6" spans="1:18" ht="63.75" customHeight="1">
      <c r="A6" s="141" t="s">
        <v>147</v>
      </c>
      <c r="B6" s="154" t="s">
        <v>199</v>
      </c>
      <c r="C6" s="144" t="s">
        <v>95</v>
      </c>
      <c r="D6" s="155" t="s">
        <v>148</v>
      </c>
      <c r="E6" s="155" t="s">
        <v>148</v>
      </c>
      <c r="F6" s="155" t="s">
        <v>148</v>
      </c>
      <c r="G6" s="155" t="s">
        <v>148</v>
      </c>
      <c r="H6" s="155" t="s">
        <v>148</v>
      </c>
      <c r="I6" s="155">
        <v>22711383</v>
      </c>
      <c r="J6" s="155">
        <v>23890354</v>
      </c>
      <c r="K6" s="155">
        <v>25028478</v>
      </c>
      <c r="L6" s="155">
        <v>25468258</v>
      </c>
      <c r="M6" s="155">
        <v>25716129</v>
      </c>
      <c r="N6" s="155" t="s">
        <v>148</v>
      </c>
      <c r="O6" s="155" t="s">
        <v>148</v>
      </c>
      <c r="P6" s="155" t="s">
        <v>148</v>
      </c>
      <c r="Q6" s="155" t="s">
        <v>148</v>
      </c>
      <c r="R6" s="155" t="s">
        <v>148</v>
      </c>
    </row>
    <row r="7" spans="1:18" ht="63.75" customHeight="1">
      <c r="A7" s="141" t="s">
        <v>200</v>
      </c>
      <c r="B7" s="154" t="s">
        <v>203</v>
      </c>
      <c r="C7" s="144" t="s">
        <v>95</v>
      </c>
      <c r="D7" s="155">
        <f>I7+N7</f>
        <v>7389279</v>
      </c>
      <c r="E7" s="155">
        <f>J7+O7</f>
        <v>7427749</v>
      </c>
      <c r="F7" s="155">
        <f>K7+P7</f>
        <v>8091250</v>
      </c>
      <c r="G7" s="155">
        <f>L7+Q7</f>
        <v>8093560</v>
      </c>
      <c r="H7" s="155">
        <f>M7+R7</f>
        <v>8087100</v>
      </c>
      <c r="I7" s="155">
        <v>7389279</v>
      </c>
      <c r="J7" s="155">
        <v>7427749</v>
      </c>
      <c r="K7" s="155">
        <v>8091250</v>
      </c>
      <c r="L7" s="155">
        <v>8093560</v>
      </c>
      <c r="M7" s="155">
        <v>8087100</v>
      </c>
      <c r="N7" s="155"/>
      <c r="O7" s="155"/>
      <c r="P7" s="155"/>
      <c r="Q7" s="155"/>
      <c r="R7" s="155"/>
    </row>
    <row r="8" spans="1:18" ht="111.75" customHeight="1">
      <c r="A8" s="141" t="s">
        <v>149</v>
      </c>
      <c r="B8" s="154" t="s">
        <v>201</v>
      </c>
      <c r="C8" s="144" t="s">
        <v>95</v>
      </c>
      <c r="D8" s="155">
        <f aca="true" t="shared" si="0" ref="D8:H9">I8+N8</f>
        <v>6556665</v>
      </c>
      <c r="E8" s="155">
        <f t="shared" si="0"/>
        <v>2839111</v>
      </c>
      <c r="F8" s="155">
        <f t="shared" si="0"/>
        <v>1846298</v>
      </c>
      <c r="G8" s="155">
        <f t="shared" si="0"/>
        <v>1467247</v>
      </c>
      <c r="H8" s="155">
        <f t="shared" si="0"/>
        <v>1232490</v>
      </c>
      <c r="I8" s="155">
        <v>5638352</v>
      </c>
      <c r="J8" s="155">
        <v>2498364</v>
      </c>
      <c r="K8" s="155">
        <v>1483318</v>
      </c>
      <c r="L8" s="155">
        <v>1195242</v>
      </c>
      <c r="M8" s="155">
        <v>1006082</v>
      </c>
      <c r="N8" s="155">
        <v>918313</v>
      </c>
      <c r="O8" s="155">
        <v>340747</v>
      </c>
      <c r="P8" s="155">
        <v>362980</v>
      </c>
      <c r="Q8" s="155">
        <v>272005</v>
      </c>
      <c r="R8" s="155">
        <v>226408</v>
      </c>
    </row>
    <row r="9" spans="1:18" ht="63.75" customHeight="1">
      <c r="A9" s="141" t="s">
        <v>150</v>
      </c>
      <c r="B9" s="154" t="s">
        <v>202</v>
      </c>
      <c r="C9" s="144" t="s">
        <v>95</v>
      </c>
      <c r="D9" s="155">
        <f t="shared" si="0"/>
        <v>53896586</v>
      </c>
      <c r="E9" s="155">
        <f t="shared" si="0"/>
        <v>55992077</v>
      </c>
      <c r="F9" s="155">
        <f t="shared" si="0"/>
        <v>58105357</v>
      </c>
      <c r="G9" s="155">
        <f t="shared" si="0"/>
        <v>59565390</v>
      </c>
      <c r="H9" s="155">
        <f t="shared" si="0"/>
        <v>60849420</v>
      </c>
      <c r="I9" s="155">
        <v>35934422</v>
      </c>
      <c r="J9" s="155">
        <v>37829005</v>
      </c>
      <c r="K9" s="155">
        <v>39806235</v>
      </c>
      <c r="L9" s="155">
        <v>40999739</v>
      </c>
      <c r="M9" s="155">
        <v>42100889</v>
      </c>
      <c r="N9" s="155">
        <v>17962164</v>
      </c>
      <c r="O9" s="155">
        <v>18163072</v>
      </c>
      <c r="P9" s="155">
        <v>18299122</v>
      </c>
      <c r="Q9" s="155">
        <v>18565651</v>
      </c>
      <c r="R9" s="155">
        <v>18748531</v>
      </c>
    </row>
  </sheetData>
  <sheetProtection/>
  <mergeCells count="11">
    <mergeCell ref="F3:H3"/>
    <mergeCell ref="K3:M3"/>
    <mergeCell ref="P3:R3"/>
    <mergeCell ref="A5:R5"/>
    <mergeCell ref="A1:A4"/>
    <mergeCell ref="B1:B4"/>
    <mergeCell ref="C1:C4"/>
    <mergeCell ref="D1:H2"/>
    <mergeCell ref="I1:R1"/>
    <mergeCell ref="I2:M2"/>
    <mergeCell ref="N2:R2"/>
  </mergeCells>
  <printOptions/>
  <pageMargins left="1.5748031496062993" right="0.1968503937007874" top="1.1811023622047245" bottom="0.2755905511811024" header="0.15748031496062992" footer="0.15748031496062992"/>
  <pageSetup firstPageNumber="200" useFirstPageNumber="1" fitToHeight="1" fitToWidth="1" horizontalDpi="600" verticalDpi="600" orientation="landscape" paperSize="9" scale="60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25"/>
  <sheetViews>
    <sheetView zoomScaleSheetLayoutView="100" zoomScalePageLayoutView="0" workbookViewId="0" topLeftCell="A3">
      <selection activeCell="A25" sqref="A25:G25"/>
    </sheetView>
  </sheetViews>
  <sheetFormatPr defaultColWidth="9.00390625" defaultRowHeight="12.75"/>
  <cols>
    <col min="1" max="1" width="51.625" style="18" customWidth="1"/>
    <col min="2" max="2" width="9.00390625" style="18" customWidth="1"/>
    <col min="3" max="7" width="15.625" style="18" customWidth="1"/>
    <col min="8" max="16384" width="9.125" style="18" customWidth="1"/>
  </cols>
  <sheetData>
    <row r="1" spans="1:7" ht="34.5" customHeight="1">
      <c r="A1" s="189" t="s">
        <v>42</v>
      </c>
      <c r="B1" s="189" t="s">
        <v>43</v>
      </c>
      <c r="C1" s="242" t="s">
        <v>154</v>
      </c>
      <c r="D1" s="243"/>
      <c r="E1" s="243"/>
      <c r="F1" s="243"/>
      <c r="G1" s="244"/>
    </row>
    <row r="2" spans="1:7" ht="12.75">
      <c r="A2" s="189"/>
      <c r="B2" s="189"/>
      <c r="C2" s="189" t="s">
        <v>161</v>
      </c>
      <c r="D2" s="189" t="s">
        <v>162</v>
      </c>
      <c r="E2" s="189" t="s">
        <v>45</v>
      </c>
      <c r="F2" s="189" t="s">
        <v>136</v>
      </c>
      <c r="G2" s="189" t="s">
        <v>163</v>
      </c>
    </row>
    <row r="3" spans="1:7" ht="12.75">
      <c r="A3" s="189"/>
      <c r="B3" s="189"/>
      <c r="C3" s="189"/>
      <c r="D3" s="189"/>
      <c r="E3" s="189"/>
      <c r="F3" s="189"/>
      <c r="G3" s="189"/>
    </row>
    <row r="4" spans="1:7" ht="26.25" customHeight="1">
      <c r="A4" s="236" t="s">
        <v>153</v>
      </c>
      <c r="B4" s="237"/>
      <c r="C4" s="237"/>
      <c r="D4" s="237"/>
      <c r="E4" s="237"/>
      <c r="F4" s="237"/>
      <c r="G4" s="238"/>
    </row>
    <row r="5" spans="1:7" ht="24.75" customHeight="1">
      <c r="A5" s="27" t="s">
        <v>121</v>
      </c>
      <c r="B5" s="72" t="s">
        <v>95</v>
      </c>
      <c r="C5" s="25">
        <v>66722.3</v>
      </c>
      <c r="D5" s="25">
        <v>71927</v>
      </c>
      <c r="E5" s="25">
        <v>79176.2</v>
      </c>
      <c r="F5" s="25">
        <v>85726.8</v>
      </c>
      <c r="G5" s="25">
        <v>92848.3</v>
      </c>
    </row>
    <row r="6" spans="1:7" ht="15.75" customHeight="1">
      <c r="A6" s="27" t="s">
        <v>13</v>
      </c>
      <c r="B6" s="72" t="s">
        <v>14</v>
      </c>
      <c r="C6" s="25">
        <v>89.3</v>
      </c>
      <c r="D6" s="25">
        <v>104</v>
      </c>
      <c r="E6" s="25">
        <v>104.5</v>
      </c>
      <c r="F6" s="25">
        <v>104.6</v>
      </c>
      <c r="G6" s="25">
        <v>104.7</v>
      </c>
    </row>
    <row r="7" spans="1:7" ht="26.25" customHeight="1">
      <c r="A7" s="27" t="s">
        <v>122</v>
      </c>
      <c r="B7" s="72" t="s">
        <v>95</v>
      </c>
      <c r="C7" s="25"/>
      <c r="D7" s="25"/>
      <c r="E7" s="25"/>
      <c r="F7" s="25"/>
      <c r="G7" s="25"/>
    </row>
    <row r="8" spans="1:7" ht="13.5" customHeight="1">
      <c r="A8" s="27" t="s">
        <v>13</v>
      </c>
      <c r="B8" s="72" t="s">
        <v>14</v>
      </c>
      <c r="C8" s="25"/>
      <c r="D8" s="25"/>
      <c r="E8" s="25"/>
      <c r="F8" s="25"/>
      <c r="G8" s="25"/>
    </row>
    <row r="9" spans="1:7" ht="24.75" customHeight="1">
      <c r="A9" s="27" t="s">
        <v>123</v>
      </c>
      <c r="B9" s="72" t="s">
        <v>20</v>
      </c>
      <c r="C9" s="27"/>
      <c r="D9" s="27"/>
      <c r="E9" s="27"/>
      <c r="F9" s="27"/>
      <c r="G9" s="27"/>
    </row>
    <row r="10" spans="1:7" ht="25.5" customHeight="1">
      <c r="A10" s="27" t="s">
        <v>124</v>
      </c>
      <c r="B10" s="28" t="s">
        <v>95</v>
      </c>
      <c r="C10" s="27"/>
      <c r="D10" s="27"/>
      <c r="E10" s="27"/>
      <c r="F10" s="27"/>
      <c r="G10" s="27"/>
    </row>
    <row r="11" spans="1:7" ht="18" customHeight="1">
      <c r="A11" s="27" t="s">
        <v>125</v>
      </c>
      <c r="B11" s="73" t="s">
        <v>26</v>
      </c>
      <c r="C11" s="27"/>
      <c r="D11" s="27"/>
      <c r="E11" s="27"/>
      <c r="F11" s="27"/>
      <c r="G11" s="27"/>
    </row>
    <row r="12" spans="1:7" ht="16.5" customHeight="1">
      <c r="A12" s="239" t="s">
        <v>126</v>
      </c>
      <c r="B12" s="240"/>
      <c r="C12" s="240"/>
      <c r="D12" s="240"/>
      <c r="E12" s="240"/>
      <c r="F12" s="240"/>
      <c r="G12" s="241"/>
    </row>
    <row r="13" spans="1:7" ht="26.25" customHeight="1">
      <c r="A13" s="27" t="s">
        <v>53</v>
      </c>
      <c r="B13" s="28" t="s">
        <v>95</v>
      </c>
      <c r="C13" s="74"/>
      <c r="D13" s="75"/>
      <c r="E13" s="76"/>
      <c r="F13" s="76"/>
      <c r="G13" s="76"/>
    </row>
    <row r="14" spans="1:7" ht="26.25" customHeight="1">
      <c r="A14" s="27" t="s">
        <v>127</v>
      </c>
      <c r="B14" s="28" t="s">
        <v>95</v>
      </c>
      <c r="C14" s="74"/>
      <c r="D14" s="75"/>
      <c r="E14" s="76"/>
      <c r="F14" s="76"/>
      <c r="G14" s="76"/>
    </row>
    <row r="15" spans="1:7" ht="15" customHeight="1">
      <c r="A15" s="27" t="s">
        <v>128</v>
      </c>
      <c r="B15" s="28" t="s">
        <v>95</v>
      </c>
      <c r="C15" s="74"/>
      <c r="D15" s="75"/>
      <c r="E15" s="76"/>
      <c r="F15" s="76"/>
      <c r="G15" s="76"/>
    </row>
    <row r="16" spans="1:7" ht="26.25" customHeight="1">
      <c r="A16" s="27" t="s">
        <v>129</v>
      </c>
      <c r="B16" s="28" t="s">
        <v>95</v>
      </c>
      <c r="C16" s="74"/>
      <c r="D16" s="75"/>
      <c r="E16" s="76"/>
      <c r="F16" s="76"/>
      <c r="G16" s="76"/>
    </row>
    <row r="17" spans="1:7" ht="13.5" customHeight="1">
      <c r="A17" s="27" t="s">
        <v>130</v>
      </c>
      <c r="B17" s="28" t="s">
        <v>95</v>
      </c>
      <c r="C17" s="74"/>
      <c r="D17" s="75"/>
      <c r="E17" s="76"/>
      <c r="F17" s="76"/>
      <c r="G17" s="76"/>
    </row>
    <row r="18" spans="1:7" ht="13.5" customHeight="1">
      <c r="A18" s="27" t="s">
        <v>131</v>
      </c>
      <c r="B18" s="28" t="s">
        <v>95</v>
      </c>
      <c r="C18" s="74"/>
      <c r="D18" s="75"/>
      <c r="E18" s="76"/>
      <c r="F18" s="76"/>
      <c r="G18" s="76"/>
    </row>
    <row r="19" spans="1:7" ht="13.5" customHeight="1">
      <c r="A19" s="27" t="s">
        <v>55</v>
      </c>
      <c r="B19" s="28" t="s">
        <v>95</v>
      </c>
      <c r="C19" s="74"/>
      <c r="D19" s="75"/>
      <c r="E19" s="76"/>
      <c r="F19" s="76"/>
      <c r="G19" s="76"/>
    </row>
    <row r="20" spans="1:7" ht="25.5" customHeight="1">
      <c r="A20" s="27" t="s">
        <v>132</v>
      </c>
      <c r="B20" s="28" t="s">
        <v>46</v>
      </c>
      <c r="C20" s="74"/>
      <c r="D20" s="75"/>
      <c r="E20" s="76"/>
      <c r="F20" s="76"/>
      <c r="G20" s="76"/>
    </row>
    <row r="21" spans="1:7" ht="14.25" customHeight="1">
      <c r="A21" s="27" t="s">
        <v>56</v>
      </c>
      <c r="B21" s="28" t="s">
        <v>95</v>
      </c>
      <c r="C21" s="74"/>
      <c r="D21" s="75"/>
      <c r="E21" s="76"/>
      <c r="F21" s="76"/>
      <c r="G21" s="76"/>
    </row>
    <row r="22" spans="1:7" ht="14.25" customHeight="1">
      <c r="A22" s="27" t="s">
        <v>133</v>
      </c>
      <c r="B22" s="28" t="s">
        <v>38</v>
      </c>
      <c r="C22" s="74"/>
      <c r="D22" s="75"/>
      <c r="E22" s="76"/>
      <c r="F22" s="76"/>
      <c r="G22" s="76"/>
    </row>
    <row r="23" spans="1:7" ht="14.25" customHeight="1">
      <c r="A23" s="27" t="s">
        <v>134</v>
      </c>
      <c r="B23" s="28" t="s">
        <v>38</v>
      </c>
      <c r="C23" s="74"/>
      <c r="D23" s="75"/>
      <c r="E23" s="76"/>
      <c r="F23" s="76"/>
      <c r="G23" s="76"/>
    </row>
    <row r="25" spans="1:7" ht="27" customHeight="1">
      <c r="A25" s="235" t="s">
        <v>155</v>
      </c>
      <c r="B25" s="235"/>
      <c r="C25" s="235"/>
      <c r="D25" s="235"/>
      <c r="E25" s="235"/>
      <c r="F25" s="235"/>
      <c r="G25" s="235"/>
    </row>
  </sheetData>
  <sheetProtection/>
  <mergeCells count="11">
    <mergeCell ref="G2:G3"/>
    <mergeCell ref="A25:G25"/>
    <mergeCell ref="A4:G4"/>
    <mergeCell ref="A12:G12"/>
    <mergeCell ref="A1:A3"/>
    <mergeCell ref="B1:B3"/>
    <mergeCell ref="C1:G1"/>
    <mergeCell ref="C2:C3"/>
    <mergeCell ref="D2:D3"/>
    <mergeCell ref="E2:E3"/>
    <mergeCell ref="F2:F3"/>
  </mergeCells>
  <printOptions horizontalCentered="1"/>
  <pageMargins left="0.4330708661417323" right="0.2362204724409449" top="0.984251968503937" bottom="0.2755905511811024" header="0.2755905511811024" footer="0.1968503937007874"/>
  <pageSetup firstPageNumber="201" useFirstPageNumber="1" fitToHeight="8" horizontalDpi="300" verticalDpi="300" orientation="landscape" paperSize="9" scale="9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zoomScale="71" zoomScaleNormal="71" zoomScaleSheetLayoutView="100" zoomScalePageLayoutView="0" workbookViewId="0" topLeftCell="A13">
      <selection activeCell="C37" sqref="C37"/>
    </sheetView>
  </sheetViews>
  <sheetFormatPr defaultColWidth="9.00390625" defaultRowHeight="12.75"/>
  <cols>
    <col min="1" max="1" width="59.875" style="18" customWidth="1"/>
    <col min="2" max="2" width="9.00390625" style="18" customWidth="1"/>
    <col min="3" max="7" width="14.125" style="18" customWidth="1"/>
    <col min="8" max="16384" width="9.125" style="18" customWidth="1"/>
  </cols>
  <sheetData>
    <row r="1" spans="1:7" s="37" customFormat="1" ht="19.5" customHeight="1">
      <c r="A1" s="185" t="s">
        <v>42</v>
      </c>
      <c r="B1" s="185" t="s">
        <v>43</v>
      </c>
      <c r="C1" s="185" t="s">
        <v>44</v>
      </c>
      <c r="D1" s="185"/>
      <c r="E1" s="185"/>
      <c r="F1" s="185"/>
      <c r="G1" s="185"/>
    </row>
    <row r="2" spans="1:7" s="37" customFormat="1" ht="12.75" customHeight="1">
      <c r="A2" s="185"/>
      <c r="B2" s="185"/>
      <c r="C2" s="185" t="s">
        <v>161</v>
      </c>
      <c r="D2" s="185" t="s">
        <v>162</v>
      </c>
      <c r="E2" s="185" t="s">
        <v>45</v>
      </c>
      <c r="F2" s="185" t="s">
        <v>136</v>
      </c>
      <c r="G2" s="185" t="s">
        <v>163</v>
      </c>
    </row>
    <row r="3" spans="1:7" s="37" customFormat="1" ht="12">
      <c r="A3" s="185"/>
      <c r="B3" s="185"/>
      <c r="C3" s="185"/>
      <c r="D3" s="185"/>
      <c r="E3" s="185"/>
      <c r="F3" s="185"/>
      <c r="G3" s="185"/>
    </row>
    <row r="4" spans="1:7" s="37" customFormat="1" ht="18" customHeight="1">
      <c r="A4" s="186" t="s">
        <v>10</v>
      </c>
      <c r="B4" s="186"/>
      <c r="C4" s="186"/>
      <c r="D4" s="186"/>
      <c r="E4" s="186"/>
      <c r="F4" s="186"/>
      <c r="G4" s="186"/>
    </row>
    <row r="5" spans="1:8" s="37" customFormat="1" ht="23.25" customHeight="1">
      <c r="A5" s="38" t="s">
        <v>164</v>
      </c>
      <c r="B5" s="20" t="s">
        <v>46</v>
      </c>
      <c r="C5" s="39">
        <v>48425319</v>
      </c>
      <c r="D5" s="39">
        <v>56024194</v>
      </c>
      <c r="E5" s="39">
        <v>60346359</v>
      </c>
      <c r="F5" s="39">
        <v>65454965.75</v>
      </c>
      <c r="G5" s="39">
        <v>71098773</v>
      </c>
      <c r="H5" s="102"/>
    </row>
    <row r="6" spans="1:7" s="37" customFormat="1" ht="12" customHeight="1">
      <c r="A6" s="40" t="s">
        <v>47</v>
      </c>
      <c r="B6" s="22"/>
      <c r="C6" s="39"/>
      <c r="D6" s="39"/>
      <c r="E6" s="39"/>
      <c r="F6" s="39"/>
      <c r="G6" s="39"/>
    </row>
    <row r="7" spans="1:7" s="37" customFormat="1" ht="12" customHeight="1">
      <c r="A7" s="41" t="s">
        <v>48</v>
      </c>
      <c r="B7" s="22" t="s">
        <v>46</v>
      </c>
      <c r="C7" s="39">
        <v>173952</v>
      </c>
      <c r="D7" s="39">
        <v>180000</v>
      </c>
      <c r="E7" s="39">
        <v>185000</v>
      </c>
      <c r="F7" s="39">
        <v>190082</v>
      </c>
      <c r="G7" s="39">
        <v>190082</v>
      </c>
    </row>
    <row r="8" spans="1:7" s="37" customFormat="1" ht="12" customHeight="1">
      <c r="A8" s="41" t="s">
        <v>49</v>
      </c>
      <c r="B8" s="22" t="s">
        <v>46</v>
      </c>
      <c r="C8" s="39">
        <v>45762896</v>
      </c>
      <c r="D8" s="39">
        <v>53007170</v>
      </c>
      <c r="E8" s="39">
        <v>57209582</v>
      </c>
      <c r="F8" s="39">
        <v>62204533.6</v>
      </c>
      <c r="G8" s="39">
        <v>67763477</v>
      </c>
    </row>
    <row r="9" spans="1:8" s="37" customFormat="1" ht="24" customHeight="1">
      <c r="A9" s="42" t="s">
        <v>165</v>
      </c>
      <c r="B9" s="22" t="s">
        <v>46</v>
      </c>
      <c r="C9" s="39">
        <v>2488471</v>
      </c>
      <c r="D9" s="39">
        <v>2837024</v>
      </c>
      <c r="E9" s="39">
        <v>2951777</v>
      </c>
      <c r="F9" s="39">
        <v>3060350.15</v>
      </c>
      <c r="G9" s="39">
        <v>3145214</v>
      </c>
      <c r="H9" s="102"/>
    </row>
    <row r="10" spans="1:7" s="37" customFormat="1" ht="23.25" customHeight="1">
      <c r="A10" s="42" t="s">
        <v>166</v>
      </c>
      <c r="B10" s="22" t="s">
        <v>14</v>
      </c>
      <c r="C10" s="43">
        <v>110.48502264230827</v>
      </c>
      <c r="D10" s="43">
        <v>110.19726330670458</v>
      </c>
      <c r="E10" s="43">
        <v>102.8561392662851</v>
      </c>
      <c r="F10" s="43">
        <v>103.643</v>
      </c>
      <c r="G10" s="43">
        <v>103.7992197516744</v>
      </c>
    </row>
    <row r="11" spans="1:7" s="37" customFormat="1" ht="12.75" customHeight="1">
      <c r="A11" s="40" t="s">
        <v>47</v>
      </c>
      <c r="B11" s="22"/>
      <c r="C11" s="103"/>
      <c r="D11" s="103"/>
      <c r="E11" s="103"/>
      <c r="F11" s="103"/>
      <c r="G11" s="103"/>
    </row>
    <row r="12" spans="1:7" s="37" customFormat="1" ht="12.75" customHeight="1">
      <c r="A12" s="41" t="s">
        <v>48</v>
      </c>
      <c r="B12" s="22" t="s">
        <v>14</v>
      </c>
      <c r="C12" s="43">
        <v>107.628</v>
      </c>
      <c r="D12" s="43">
        <v>97.161</v>
      </c>
      <c r="E12" s="43">
        <v>98.635</v>
      </c>
      <c r="F12" s="43">
        <v>98.606</v>
      </c>
      <c r="G12" s="43">
        <v>95.877</v>
      </c>
    </row>
    <row r="13" spans="1:7" s="37" customFormat="1" ht="12.75" customHeight="1">
      <c r="A13" s="41" t="s">
        <v>49</v>
      </c>
      <c r="B13" s="22" t="s">
        <v>14</v>
      </c>
      <c r="C13" s="43">
        <v>110.37</v>
      </c>
      <c r="D13" s="43">
        <v>110.236</v>
      </c>
      <c r="E13" s="43">
        <v>102.995</v>
      </c>
      <c r="F13" s="43">
        <v>103.88</v>
      </c>
      <c r="G13" s="43">
        <v>103.999</v>
      </c>
    </row>
    <row r="14" spans="1:7" s="37" customFormat="1" ht="23.25" customHeight="1">
      <c r="A14" s="42" t="s">
        <v>165</v>
      </c>
      <c r="B14" s="22" t="s">
        <v>14</v>
      </c>
      <c r="C14" s="104">
        <v>112.8</v>
      </c>
      <c r="D14" s="104">
        <v>110.30061277024757</v>
      </c>
      <c r="E14" s="104">
        <v>100.42937946438235</v>
      </c>
      <c r="F14" s="104">
        <v>100.07551167630334</v>
      </c>
      <c r="G14" s="104">
        <v>99.97374622662065</v>
      </c>
    </row>
    <row r="15" spans="1:7" s="37" customFormat="1" ht="12.75" customHeight="1">
      <c r="A15" s="41" t="s">
        <v>50</v>
      </c>
      <c r="B15" s="22" t="s">
        <v>46</v>
      </c>
      <c r="C15" s="39">
        <v>6845648</v>
      </c>
      <c r="D15" s="39">
        <v>8512511</v>
      </c>
      <c r="E15" s="39">
        <v>9204779</v>
      </c>
      <c r="F15" s="39">
        <v>10385931.399999999</v>
      </c>
      <c r="G15" s="39">
        <v>11537063</v>
      </c>
    </row>
    <row r="16" spans="1:7" s="37" customFormat="1" ht="12.75" customHeight="1">
      <c r="A16" s="42" t="s">
        <v>51</v>
      </c>
      <c r="B16" s="22" t="s">
        <v>14</v>
      </c>
      <c r="C16" s="43">
        <v>128.2</v>
      </c>
      <c r="D16" s="43">
        <v>119.23</v>
      </c>
      <c r="E16" s="43">
        <v>103.752</v>
      </c>
      <c r="F16" s="43">
        <v>108.298</v>
      </c>
      <c r="G16" s="43">
        <v>106.488</v>
      </c>
    </row>
    <row r="17" spans="1:7" s="37" customFormat="1" ht="15" customHeight="1">
      <c r="A17" s="188" t="s">
        <v>52</v>
      </c>
      <c r="B17" s="188"/>
      <c r="C17" s="188"/>
      <c r="D17" s="188"/>
      <c r="E17" s="188"/>
      <c r="F17" s="188"/>
      <c r="G17" s="188"/>
    </row>
    <row r="18" spans="1:7" s="37" customFormat="1" ht="24" customHeight="1">
      <c r="A18" s="44" t="s">
        <v>53</v>
      </c>
      <c r="B18" s="28" t="s">
        <v>46</v>
      </c>
      <c r="C18" s="39">
        <f>C35+9439298</f>
        <v>64200527</v>
      </c>
      <c r="D18" s="39">
        <f>D35+11523866</f>
        <v>66638480</v>
      </c>
      <c r="E18" s="39">
        <f>E35+12472552</f>
        <v>71694091</v>
      </c>
      <c r="F18" s="39">
        <f>F35+14114371</f>
        <v>78422344</v>
      </c>
      <c r="G18" s="39">
        <f>G35+15718124</f>
        <v>85273697</v>
      </c>
    </row>
    <row r="19" spans="1:7" s="37" customFormat="1" ht="12.75" customHeight="1">
      <c r="A19" s="44" t="s">
        <v>54</v>
      </c>
      <c r="B19" s="28" t="s">
        <v>46</v>
      </c>
      <c r="C19" s="39">
        <f>SUM(C20:C21)</f>
        <v>2388703</v>
      </c>
      <c r="D19" s="39">
        <f>SUM(D20:D21)</f>
        <v>2278477</v>
      </c>
      <c r="E19" s="39">
        <f>SUM(E20:E21)</f>
        <v>2502126</v>
      </c>
      <c r="F19" s="39">
        <f>SUM(F20:F21)</f>
        <v>2673054</v>
      </c>
      <c r="G19" s="39">
        <f>SUM(G20:G21)</f>
        <v>2821464</v>
      </c>
    </row>
    <row r="20" spans="1:7" s="37" customFormat="1" ht="12.75" customHeight="1">
      <c r="A20" s="44" t="s">
        <v>55</v>
      </c>
      <c r="B20" s="28" t="s">
        <v>46</v>
      </c>
      <c r="C20" s="39">
        <f>C37+552942</f>
        <v>2833432</v>
      </c>
      <c r="D20" s="39">
        <f>D37+570165</f>
        <v>2306977</v>
      </c>
      <c r="E20" s="39">
        <f>E37+595737</f>
        <v>2526766</v>
      </c>
      <c r="F20" s="39">
        <f>F37+627918</f>
        <v>2695694</v>
      </c>
      <c r="G20" s="39">
        <f>G37+652760</f>
        <v>2844104</v>
      </c>
    </row>
    <row r="21" spans="1:7" s="37" customFormat="1" ht="12.75" customHeight="1">
      <c r="A21" s="44" t="s">
        <v>56</v>
      </c>
      <c r="B21" s="28" t="s">
        <v>46</v>
      </c>
      <c r="C21" s="39">
        <f>-55414+C38</f>
        <v>-444729</v>
      </c>
      <c r="D21" s="39">
        <f>-28500+D38</f>
        <v>-28500</v>
      </c>
      <c r="E21" s="39">
        <f>-24640+E38</f>
        <v>-24640</v>
      </c>
      <c r="F21" s="39">
        <f>-22640+F38</f>
        <v>-22640</v>
      </c>
      <c r="G21" s="39">
        <f>-22640+G38</f>
        <v>-22640</v>
      </c>
    </row>
    <row r="22" spans="1:7" s="37" customFormat="1" ht="29.25" customHeight="1">
      <c r="A22" s="105"/>
      <c r="B22" s="106"/>
      <c r="C22" s="107"/>
      <c r="D22" s="108"/>
      <c r="E22" s="108"/>
      <c r="F22" s="108"/>
      <c r="G22" s="108"/>
    </row>
    <row r="23" spans="1:7" s="37" customFormat="1" ht="20.25" customHeight="1">
      <c r="A23" s="185" t="s">
        <v>42</v>
      </c>
      <c r="B23" s="185" t="s">
        <v>43</v>
      </c>
      <c r="C23" s="185" t="s">
        <v>57</v>
      </c>
      <c r="D23" s="185"/>
      <c r="E23" s="185"/>
      <c r="F23" s="185"/>
      <c r="G23" s="185"/>
    </row>
    <row r="24" spans="1:7" s="37" customFormat="1" ht="12.75" customHeight="1">
      <c r="A24" s="185"/>
      <c r="B24" s="185"/>
      <c r="C24" s="185" t="s">
        <v>161</v>
      </c>
      <c r="D24" s="185" t="s">
        <v>162</v>
      </c>
      <c r="E24" s="185" t="s">
        <v>45</v>
      </c>
      <c r="F24" s="185" t="s">
        <v>136</v>
      </c>
      <c r="G24" s="185" t="s">
        <v>163</v>
      </c>
    </row>
    <row r="25" spans="1:7" s="37" customFormat="1" ht="12">
      <c r="A25" s="185"/>
      <c r="B25" s="185"/>
      <c r="C25" s="185"/>
      <c r="D25" s="185"/>
      <c r="E25" s="185"/>
      <c r="F25" s="185"/>
      <c r="G25" s="185"/>
    </row>
    <row r="26" spans="1:7" s="45" customFormat="1" ht="18" customHeight="1">
      <c r="A26" s="186" t="s">
        <v>10</v>
      </c>
      <c r="B26" s="186"/>
      <c r="C26" s="186"/>
      <c r="D26" s="186"/>
      <c r="E26" s="186"/>
      <c r="F26" s="186"/>
      <c r="G26" s="186"/>
    </row>
    <row r="27" spans="1:7" s="45" customFormat="1" ht="12.75" customHeight="1">
      <c r="A27" s="46" t="s">
        <v>58</v>
      </c>
      <c r="B27" s="32" t="s">
        <v>38</v>
      </c>
      <c r="C27" s="39">
        <v>38</v>
      </c>
      <c r="D27" s="39">
        <v>35</v>
      </c>
      <c r="E27" s="39">
        <v>35</v>
      </c>
      <c r="F27" s="39">
        <v>35</v>
      </c>
      <c r="G27" s="39">
        <v>35</v>
      </c>
    </row>
    <row r="28" spans="1:8" s="45" customFormat="1" ht="23.25" customHeight="1">
      <c r="A28" s="38" t="s">
        <v>164</v>
      </c>
      <c r="B28" s="33" t="s">
        <v>46</v>
      </c>
      <c r="C28" s="39">
        <f>SUM(C31:C32)</f>
        <v>41579671</v>
      </c>
      <c r="D28" s="39">
        <f>SUM(D30:D32)</f>
        <v>47511683</v>
      </c>
      <c r="E28" s="39">
        <f>SUM(E30:E32)</f>
        <v>51141580</v>
      </c>
      <c r="F28" s="39">
        <f>SUM(F30:F32)</f>
        <v>55069034.35</v>
      </c>
      <c r="G28" s="39">
        <f>SUM(G30:G32)</f>
        <v>59561710</v>
      </c>
      <c r="H28" s="109"/>
    </row>
    <row r="29" spans="1:7" s="45" customFormat="1" ht="12" customHeight="1">
      <c r="A29" s="110" t="s">
        <v>47</v>
      </c>
      <c r="B29" s="32"/>
      <c r="C29" s="111"/>
      <c r="D29" s="111"/>
      <c r="E29" s="111"/>
      <c r="F29" s="111"/>
      <c r="G29" s="111"/>
    </row>
    <row r="30" spans="1:7" s="45" customFormat="1" ht="12" customHeight="1">
      <c r="A30" s="47" t="s">
        <v>48</v>
      </c>
      <c r="B30" s="32" t="s">
        <v>46</v>
      </c>
      <c r="C30" s="36" t="s">
        <v>59</v>
      </c>
      <c r="D30" s="36" t="s">
        <v>59</v>
      </c>
      <c r="E30" s="36" t="s">
        <v>59</v>
      </c>
      <c r="F30" s="36" t="s">
        <v>59</v>
      </c>
      <c r="G30" s="36" t="s">
        <v>59</v>
      </c>
    </row>
    <row r="31" spans="1:7" s="45" customFormat="1" ht="12" customHeight="1">
      <c r="A31" s="47" t="s">
        <v>49</v>
      </c>
      <c r="B31" s="32" t="s">
        <v>46</v>
      </c>
      <c r="C31" s="39">
        <v>39296271</v>
      </c>
      <c r="D31" s="39">
        <v>45497532</v>
      </c>
      <c r="E31" s="39">
        <v>49060150</v>
      </c>
      <c r="F31" s="39">
        <v>52904684.6</v>
      </c>
      <c r="G31" s="39">
        <v>57333325</v>
      </c>
    </row>
    <row r="32" spans="1:7" s="45" customFormat="1" ht="24.75" customHeight="1">
      <c r="A32" s="42" t="s">
        <v>165</v>
      </c>
      <c r="B32" s="32" t="s">
        <v>46</v>
      </c>
      <c r="C32" s="39">
        <f>1928322+355078</f>
        <v>2283400</v>
      </c>
      <c r="D32" s="39">
        <f>1590876+423275</f>
        <v>2014151</v>
      </c>
      <c r="E32" s="39">
        <f>1639731+441699</f>
        <v>2081430</v>
      </c>
      <c r="F32" s="39">
        <f>1704680+459669.75</f>
        <v>2164349.75</v>
      </c>
      <c r="G32" s="39">
        <f>1746231+482154</f>
        <v>2228385</v>
      </c>
    </row>
    <row r="33" spans="1:7" s="45" customFormat="1" ht="24.75" customHeight="1">
      <c r="A33" s="42" t="s">
        <v>166</v>
      </c>
      <c r="B33" s="32" t="s">
        <v>14</v>
      </c>
      <c r="C33" s="104">
        <v>107.936</v>
      </c>
      <c r="D33" s="104">
        <v>108.696</v>
      </c>
      <c r="E33" s="104">
        <v>102.681</v>
      </c>
      <c r="F33" s="104">
        <v>102.806</v>
      </c>
      <c r="G33" s="104">
        <v>103.26</v>
      </c>
    </row>
    <row r="34" spans="1:7" s="45" customFormat="1" ht="15" customHeight="1">
      <c r="A34" s="187" t="s">
        <v>52</v>
      </c>
      <c r="B34" s="187"/>
      <c r="C34" s="187"/>
      <c r="D34" s="187"/>
      <c r="E34" s="187"/>
      <c r="F34" s="187"/>
      <c r="G34" s="187"/>
    </row>
    <row r="35" spans="1:7" s="37" customFormat="1" ht="24" customHeight="1">
      <c r="A35" s="48" t="s">
        <v>53</v>
      </c>
      <c r="B35" s="36" t="s">
        <v>46</v>
      </c>
      <c r="C35" s="39">
        <f>52098990+2297882+364357</f>
        <v>54761229</v>
      </c>
      <c r="D35" s="39">
        <f>53143277+1550924+420413</f>
        <v>55114614</v>
      </c>
      <c r="E35" s="39">
        <f>57192210+1590681+438648</f>
        <v>59221539</v>
      </c>
      <c r="F35" s="39">
        <f>62199246+1651620+457107</f>
        <v>64307973</v>
      </c>
      <c r="G35" s="39">
        <f>67383529+1693398+478646</f>
        <v>69555573</v>
      </c>
    </row>
    <row r="36" spans="1:7" s="37" customFormat="1" ht="12" customHeight="1">
      <c r="A36" s="48" t="s">
        <v>54</v>
      </c>
      <c r="B36" s="36" t="s">
        <v>46</v>
      </c>
      <c r="C36" s="39">
        <f>SUM(C37:C38)</f>
        <v>1891175</v>
      </c>
      <c r="D36" s="39">
        <f>SUM(D37:D38)</f>
        <v>1736812</v>
      </c>
      <c r="E36" s="39">
        <f>SUM(E37:E38)</f>
        <v>1931029</v>
      </c>
      <c r="F36" s="39">
        <f>SUM(F37:F38)</f>
        <v>2067776</v>
      </c>
      <c r="G36" s="39">
        <f>SUM(G37:G38)</f>
        <v>2191344</v>
      </c>
    </row>
    <row r="37" spans="1:7" s="37" customFormat="1" ht="12" customHeight="1">
      <c r="A37" s="48" t="s">
        <v>55</v>
      </c>
      <c r="B37" s="36" t="s">
        <v>46</v>
      </c>
      <c r="C37" s="39">
        <v>2280490</v>
      </c>
      <c r="D37" s="39">
        <v>1736812</v>
      </c>
      <c r="E37" s="39">
        <v>1931029</v>
      </c>
      <c r="F37" s="39">
        <v>2067776</v>
      </c>
      <c r="G37" s="39">
        <v>2191344</v>
      </c>
    </row>
    <row r="38" spans="1:7" s="37" customFormat="1" ht="12" customHeight="1">
      <c r="A38" s="48" t="s">
        <v>56</v>
      </c>
      <c r="B38" s="36" t="s">
        <v>46</v>
      </c>
      <c r="C38" s="39">
        <f>-389315</f>
        <v>-389315</v>
      </c>
      <c r="D38" s="39">
        <v>0</v>
      </c>
      <c r="E38" s="39">
        <v>0</v>
      </c>
      <c r="F38" s="39">
        <v>0</v>
      </c>
      <c r="G38" s="39">
        <v>0</v>
      </c>
    </row>
  </sheetData>
  <sheetProtection/>
  <mergeCells count="20">
    <mergeCell ref="A26:G26"/>
    <mergeCell ref="A34:G34"/>
    <mergeCell ref="A4:G4"/>
    <mergeCell ref="A17:G17"/>
    <mergeCell ref="A23:A25"/>
    <mergeCell ref="B23:B25"/>
    <mergeCell ref="C23:G23"/>
    <mergeCell ref="C24:C25"/>
    <mergeCell ref="D24:D25"/>
    <mergeCell ref="E24:E25"/>
    <mergeCell ref="F24:F25"/>
    <mergeCell ref="G24:G25"/>
    <mergeCell ref="A1:A3"/>
    <mergeCell ref="B1:B3"/>
    <mergeCell ref="C1:G1"/>
    <mergeCell ref="C2:C3"/>
    <mergeCell ref="D2:D3"/>
    <mergeCell ref="E2:E3"/>
    <mergeCell ref="F2:F3"/>
    <mergeCell ref="G2:G3"/>
  </mergeCells>
  <printOptions horizontalCentered="1"/>
  <pageMargins left="0.25" right="0.2362204724409449" top="0.32" bottom="0.41" header="0.22" footer="0.17"/>
  <pageSetup firstPageNumber="191" useFirstPageNumber="1" fitToHeight="1" fitToWidth="1" horizontalDpi="300" verticalDpi="300" orientation="landscape" paperSize="9" scale="8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zoomScale="80" zoomScaleNormal="80" zoomScaleSheetLayoutView="100" zoomScalePageLayoutView="0" workbookViewId="0" topLeftCell="A4">
      <selection activeCell="G13" sqref="G13"/>
    </sheetView>
  </sheetViews>
  <sheetFormatPr defaultColWidth="9.00390625" defaultRowHeight="12.75"/>
  <cols>
    <col min="1" max="1" width="59.875" style="18" customWidth="1"/>
    <col min="2" max="2" width="9.00390625" style="18" customWidth="1"/>
    <col min="3" max="7" width="14.125" style="18" customWidth="1"/>
    <col min="8" max="8" width="11.75390625" style="49" customWidth="1"/>
    <col min="9" max="9" width="12.00390625" style="49" customWidth="1"/>
    <col min="10" max="12" width="11.625" style="49" customWidth="1"/>
    <col min="13" max="13" width="4.00390625" style="18" customWidth="1"/>
    <col min="14" max="14" width="45.625" style="85" customWidth="1"/>
    <col min="15" max="16384" width="9.125" style="18" customWidth="1"/>
  </cols>
  <sheetData>
    <row r="1" spans="1:12" ht="31.5" customHeight="1">
      <c r="A1" s="189" t="s">
        <v>42</v>
      </c>
      <c r="B1" s="189" t="s">
        <v>43</v>
      </c>
      <c r="C1" s="190" t="s">
        <v>44</v>
      </c>
      <c r="D1" s="190"/>
      <c r="E1" s="190"/>
      <c r="F1" s="190"/>
      <c r="G1" s="190"/>
      <c r="H1" s="189" t="s">
        <v>135</v>
      </c>
      <c r="I1" s="189"/>
      <c r="J1" s="189"/>
      <c r="K1" s="189"/>
      <c r="L1" s="189"/>
    </row>
    <row r="2" spans="1:12" ht="12.75" customHeight="1">
      <c r="A2" s="189"/>
      <c r="B2" s="189"/>
      <c r="C2" s="189" t="s">
        <v>161</v>
      </c>
      <c r="D2" s="189" t="s">
        <v>162</v>
      </c>
      <c r="E2" s="189" t="s">
        <v>45</v>
      </c>
      <c r="F2" s="189" t="s">
        <v>136</v>
      </c>
      <c r="G2" s="189" t="s">
        <v>163</v>
      </c>
      <c r="H2" s="189" t="s">
        <v>161</v>
      </c>
      <c r="I2" s="189" t="s">
        <v>162</v>
      </c>
      <c r="J2" s="189" t="s">
        <v>45</v>
      </c>
      <c r="K2" s="189" t="s">
        <v>136</v>
      </c>
      <c r="L2" s="189" t="s">
        <v>163</v>
      </c>
    </row>
    <row r="3" spans="1:12" ht="24" customHeight="1">
      <c r="A3" s="189"/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</row>
    <row r="4" spans="1:12" ht="37.5" customHeight="1">
      <c r="A4" s="186" t="s">
        <v>10</v>
      </c>
      <c r="B4" s="186"/>
      <c r="C4" s="186"/>
      <c r="D4" s="186"/>
      <c r="E4" s="186"/>
      <c r="F4" s="186"/>
      <c r="G4" s="186"/>
      <c r="H4" s="112"/>
      <c r="I4" s="18"/>
      <c r="J4" s="18"/>
      <c r="K4" s="18"/>
      <c r="L4" s="113"/>
    </row>
    <row r="5" spans="1:14" ht="30" customHeight="1">
      <c r="A5" s="19" t="s">
        <v>164</v>
      </c>
      <c r="B5" s="20" t="s">
        <v>46</v>
      </c>
      <c r="C5" s="21">
        <v>48425319</v>
      </c>
      <c r="D5" s="21">
        <v>56024194</v>
      </c>
      <c r="E5" s="21">
        <v>60346359</v>
      </c>
      <c r="F5" s="21">
        <v>65454965.75</v>
      </c>
      <c r="G5" s="21">
        <v>71098773</v>
      </c>
      <c r="H5" s="21">
        <f>SUM(H7:H9)</f>
        <v>16746606</v>
      </c>
      <c r="I5" s="21">
        <f>SUM(I7:I9)</f>
        <v>21160293</v>
      </c>
      <c r="J5" s="21">
        <f>SUM(J7:J9)</f>
        <v>22930787</v>
      </c>
      <c r="K5" s="21">
        <f>SUM(K7:K9)</f>
        <v>25384702</v>
      </c>
      <c r="L5" s="21">
        <f>SUM(L7:L9)</f>
        <v>27380521</v>
      </c>
      <c r="N5" s="85" t="s">
        <v>137</v>
      </c>
    </row>
    <row r="6" spans="1:15" ht="17.25" customHeight="1">
      <c r="A6" s="99" t="s">
        <v>47</v>
      </c>
      <c r="B6" s="22"/>
      <c r="C6" s="21"/>
      <c r="D6" s="21"/>
      <c r="E6" s="21"/>
      <c r="F6" s="21"/>
      <c r="G6" s="21"/>
      <c r="H6" s="21"/>
      <c r="I6" s="21"/>
      <c r="J6" s="21"/>
      <c r="K6" s="21"/>
      <c r="L6" s="21"/>
      <c r="N6" s="114" t="s">
        <v>138</v>
      </c>
      <c r="O6" s="114" t="s">
        <v>167</v>
      </c>
    </row>
    <row r="7" spans="1:15" ht="17.25" customHeight="1">
      <c r="A7" s="23" t="s">
        <v>48</v>
      </c>
      <c r="B7" s="22" t="s">
        <v>46</v>
      </c>
      <c r="C7" s="21">
        <v>173952</v>
      </c>
      <c r="D7" s="21">
        <v>180000</v>
      </c>
      <c r="E7" s="21">
        <v>185000</v>
      </c>
      <c r="F7" s="21">
        <v>190082</v>
      </c>
      <c r="G7" s="21">
        <v>190082</v>
      </c>
      <c r="H7" s="115" t="s">
        <v>59</v>
      </c>
      <c r="I7" s="115" t="s">
        <v>59</v>
      </c>
      <c r="J7" s="115" t="s">
        <v>59</v>
      </c>
      <c r="K7" s="115" t="s">
        <v>59</v>
      </c>
      <c r="L7" s="115" t="s">
        <v>59</v>
      </c>
      <c r="N7" s="114" t="s">
        <v>139</v>
      </c>
      <c r="O7" s="114" t="s">
        <v>168</v>
      </c>
    </row>
    <row r="8" spans="1:15" ht="17.25" customHeight="1">
      <c r="A8" s="23" t="s">
        <v>49</v>
      </c>
      <c r="B8" s="22" t="s">
        <v>46</v>
      </c>
      <c r="C8" s="21">
        <v>45762896</v>
      </c>
      <c r="D8" s="21">
        <v>53007170</v>
      </c>
      <c r="E8" s="21">
        <v>57209582</v>
      </c>
      <c r="F8" s="21">
        <v>62204533.6</v>
      </c>
      <c r="G8" s="21">
        <v>67763477</v>
      </c>
      <c r="H8" s="21">
        <v>16377690</v>
      </c>
      <c r="I8" s="21">
        <v>20560293</v>
      </c>
      <c r="J8" s="21">
        <v>22300787</v>
      </c>
      <c r="K8" s="21">
        <v>24748702</v>
      </c>
      <c r="L8" s="21">
        <v>26744521</v>
      </c>
      <c r="N8" s="114" t="s">
        <v>140</v>
      </c>
      <c r="O8" s="114" t="s">
        <v>168</v>
      </c>
    </row>
    <row r="9" spans="1:15" ht="29.25" customHeight="1">
      <c r="A9" s="24" t="s">
        <v>165</v>
      </c>
      <c r="B9" s="22" t="s">
        <v>46</v>
      </c>
      <c r="C9" s="21">
        <v>2488471</v>
      </c>
      <c r="D9" s="21">
        <v>2837024</v>
      </c>
      <c r="E9" s="21">
        <v>2951777</v>
      </c>
      <c r="F9" s="21">
        <v>3060350.15</v>
      </c>
      <c r="G9" s="21">
        <v>3145214</v>
      </c>
      <c r="H9" s="21">
        <v>368916</v>
      </c>
      <c r="I9" s="21">
        <v>600000</v>
      </c>
      <c r="J9" s="21">
        <v>630000</v>
      </c>
      <c r="K9" s="21">
        <v>636000</v>
      </c>
      <c r="L9" s="21">
        <v>636000</v>
      </c>
      <c r="N9" s="114" t="s">
        <v>141</v>
      </c>
      <c r="O9" s="114" t="s">
        <v>168</v>
      </c>
    </row>
    <row r="10" spans="1:15" ht="30" customHeight="1">
      <c r="A10" s="24" t="s">
        <v>166</v>
      </c>
      <c r="B10" s="22" t="s">
        <v>14</v>
      </c>
      <c r="C10" s="25">
        <v>110.48502264230827</v>
      </c>
      <c r="D10" s="25">
        <v>110.19726330670458</v>
      </c>
      <c r="E10" s="25">
        <v>102.8561392662851</v>
      </c>
      <c r="F10" s="25">
        <v>103.643</v>
      </c>
      <c r="G10" s="25">
        <v>103.7992197516744</v>
      </c>
      <c r="H10" s="25">
        <v>115.6</v>
      </c>
      <c r="I10" s="25">
        <v>121.4</v>
      </c>
      <c r="J10" s="25">
        <v>103.8</v>
      </c>
      <c r="K10" s="25">
        <v>105.7</v>
      </c>
      <c r="L10" s="25">
        <v>102.9</v>
      </c>
      <c r="N10" s="114" t="s">
        <v>142</v>
      </c>
      <c r="O10" s="114" t="s">
        <v>168</v>
      </c>
    </row>
    <row r="11" spans="1:15" ht="16.5" customHeight="1">
      <c r="A11" s="99" t="s">
        <v>47</v>
      </c>
      <c r="B11" s="22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N11" s="114" t="s">
        <v>143</v>
      </c>
      <c r="O11" s="114" t="s">
        <v>168</v>
      </c>
    </row>
    <row r="12" spans="1:15" ht="17.25" customHeight="1">
      <c r="A12" s="23" t="s">
        <v>48</v>
      </c>
      <c r="B12" s="22" t="s">
        <v>14</v>
      </c>
      <c r="C12" s="25">
        <v>107.628</v>
      </c>
      <c r="D12" s="25">
        <v>97.161</v>
      </c>
      <c r="E12" s="25">
        <v>98.635</v>
      </c>
      <c r="F12" s="25">
        <v>98.606</v>
      </c>
      <c r="G12" s="25">
        <v>95.877</v>
      </c>
      <c r="H12" s="115" t="s">
        <v>59</v>
      </c>
      <c r="I12" s="115" t="s">
        <v>59</v>
      </c>
      <c r="J12" s="115" t="s">
        <v>59</v>
      </c>
      <c r="K12" s="115" t="s">
        <v>59</v>
      </c>
      <c r="L12" s="115" t="s">
        <v>59</v>
      </c>
      <c r="N12" s="114" t="s">
        <v>144</v>
      </c>
      <c r="O12" s="114" t="s">
        <v>168</v>
      </c>
    </row>
    <row r="13" spans="1:15" ht="17.25" customHeight="1">
      <c r="A13" s="23" t="s">
        <v>49</v>
      </c>
      <c r="B13" s="22" t="s">
        <v>14</v>
      </c>
      <c r="C13" s="25">
        <v>110.37</v>
      </c>
      <c r="D13" s="25">
        <v>110.236</v>
      </c>
      <c r="E13" s="25">
        <v>102.995</v>
      </c>
      <c r="F13" s="25">
        <v>103.88</v>
      </c>
      <c r="G13" s="25">
        <v>103.999</v>
      </c>
      <c r="H13" s="25">
        <v>115.4</v>
      </c>
      <c r="I13" s="25">
        <v>120.7</v>
      </c>
      <c r="J13" s="25">
        <v>104</v>
      </c>
      <c r="K13" s="25">
        <v>106</v>
      </c>
      <c r="L13" s="25">
        <v>103.1</v>
      </c>
      <c r="N13" s="114" t="s">
        <v>145</v>
      </c>
      <c r="O13" s="114" t="s">
        <v>169</v>
      </c>
    </row>
    <row r="14" spans="1:15" ht="27.75" customHeight="1">
      <c r="A14" s="24" t="s">
        <v>165</v>
      </c>
      <c r="B14" s="22" t="s">
        <v>14</v>
      </c>
      <c r="C14" s="101">
        <v>112.8</v>
      </c>
      <c r="D14" s="101">
        <v>110.30061277024757</v>
      </c>
      <c r="E14" s="101">
        <v>100.42937946438235</v>
      </c>
      <c r="F14" s="101">
        <v>100.07551167630334</v>
      </c>
      <c r="G14" s="101">
        <v>99.97374622662065</v>
      </c>
      <c r="H14" s="101">
        <v>120.4</v>
      </c>
      <c r="I14" s="101">
        <v>154.3</v>
      </c>
      <c r="J14" s="101">
        <v>100.3</v>
      </c>
      <c r="K14" s="101">
        <v>95.8</v>
      </c>
      <c r="L14" s="101">
        <v>96.2</v>
      </c>
      <c r="N14" s="114" t="s">
        <v>170</v>
      </c>
      <c r="O14" s="114" t="s">
        <v>169</v>
      </c>
    </row>
    <row r="15" spans="1:15" ht="25.5" customHeight="1">
      <c r="A15" s="26" t="s">
        <v>50</v>
      </c>
      <c r="B15" s="22" t="s">
        <v>46</v>
      </c>
      <c r="C15" s="21">
        <v>6845648</v>
      </c>
      <c r="D15" s="21">
        <v>8512511</v>
      </c>
      <c r="E15" s="21">
        <v>9204779</v>
      </c>
      <c r="F15" s="21">
        <v>10385931.399999999</v>
      </c>
      <c r="G15" s="21">
        <v>11537063</v>
      </c>
      <c r="H15" s="21">
        <v>133641</v>
      </c>
      <c r="I15" s="21">
        <v>740324</v>
      </c>
      <c r="J15" s="21">
        <v>837340</v>
      </c>
      <c r="K15" s="21">
        <v>1190707</v>
      </c>
      <c r="L15" s="21">
        <v>1398443</v>
      </c>
      <c r="N15" s="114" t="s">
        <v>171</v>
      </c>
      <c r="O15" s="114" t="s">
        <v>169</v>
      </c>
    </row>
    <row r="16" spans="1:15" ht="25.5" customHeight="1">
      <c r="A16" s="24" t="s">
        <v>51</v>
      </c>
      <c r="B16" s="22" t="s">
        <v>14</v>
      </c>
      <c r="C16" s="25">
        <v>128.2</v>
      </c>
      <c r="D16" s="25">
        <v>119.23</v>
      </c>
      <c r="E16" s="25">
        <v>103.752</v>
      </c>
      <c r="F16" s="25">
        <v>108.298</v>
      </c>
      <c r="G16" s="25">
        <v>106.488</v>
      </c>
      <c r="H16" s="25">
        <v>86.3</v>
      </c>
      <c r="I16" s="25">
        <v>525.1</v>
      </c>
      <c r="J16" s="25">
        <v>108</v>
      </c>
      <c r="K16" s="25">
        <v>135.5</v>
      </c>
      <c r="L16" s="25">
        <v>112.7</v>
      </c>
      <c r="N16" s="114" t="s">
        <v>172</v>
      </c>
      <c r="O16" s="114" t="s">
        <v>168</v>
      </c>
    </row>
    <row r="17" spans="1:12" ht="33" customHeight="1">
      <c r="A17" s="188" t="s">
        <v>52</v>
      </c>
      <c r="B17" s="188"/>
      <c r="C17" s="188"/>
      <c r="D17" s="188"/>
      <c r="E17" s="188"/>
      <c r="F17" s="188"/>
      <c r="G17" s="188"/>
      <c r="H17" s="112"/>
      <c r="I17" s="18"/>
      <c r="J17" s="18"/>
      <c r="K17" s="18"/>
      <c r="L17" s="113"/>
    </row>
    <row r="18" spans="1:12" ht="30" customHeight="1">
      <c r="A18" s="27" t="s">
        <v>53</v>
      </c>
      <c r="B18" s="28" t="s">
        <v>46</v>
      </c>
      <c r="C18" s="21">
        <v>64200527</v>
      </c>
      <c r="D18" s="21">
        <v>66638480</v>
      </c>
      <c r="E18" s="21">
        <v>71694091</v>
      </c>
      <c r="F18" s="21">
        <v>78422344</v>
      </c>
      <c r="G18" s="21">
        <v>85273697</v>
      </c>
      <c r="H18" s="21">
        <v>31807848</v>
      </c>
      <c r="I18" s="21">
        <f>34321971-2000000</f>
        <v>32321971</v>
      </c>
      <c r="J18" s="21">
        <f>36681939-2000000</f>
        <v>34681939</v>
      </c>
      <c r="K18" s="21">
        <f>39875694-2000000</f>
        <v>37875694</v>
      </c>
      <c r="L18" s="21">
        <f>42802213-2000000</f>
        <v>40802213</v>
      </c>
    </row>
    <row r="19" spans="1:12" ht="17.25" customHeight="1">
      <c r="A19" s="27" t="s">
        <v>54</v>
      </c>
      <c r="B19" s="28" t="s">
        <v>46</v>
      </c>
      <c r="C19" s="21">
        <v>2388703</v>
      </c>
      <c r="D19" s="21">
        <v>2278477</v>
      </c>
      <c r="E19" s="21">
        <v>2502126</v>
      </c>
      <c r="F19" s="21">
        <v>2673054</v>
      </c>
      <c r="G19" s="21">
        <v>2821464</v>
      </c>
      <c r="H19" s="21">
        <f>SUM(H20:H21)</f>
        <v>1274567</v>
      </c>
      <c r="I19" s="21">
        <f>SUM(I20:I21)</f>
        <v>1017978</v>
      </c>
      <c r="J19" s="21">
        <f>SUM(J20:J21)</f>
        <v>1146227</v>
      </c>
      <c r="K19" s="21">
        <f>SUM(K20:K21)</f>
        <v>1230108</v>
      </c>
      <c r="L19" s="21">
        <f>SUM(L20:L21)</f>
        <v>1307464</v>
      </c>
    </row>
    <row r="20" spans="1:12" ht="17.25" customHeight="1">
      <c r="A20" s="27" t="s">
        <v>55</v>
      </c>
      <c r="B20" s="28" t="s">
        <v>46</v>
      </c>
      <c r="C20" s="21">
        <v>2833432</v>
      </c>
      <c r="D20" s="21">
        <v>2306977</v>
      </c>
      <c r="E20" s="21">
        <v>2526766</v>
      </c>
      <c r="F20" s="21">
        <v>2695694</v>
      </c>
      <c r="G20" s="21">
        <v>2844104</v>
      </c>
      <c r="H20" s="21">
        <v>1568291</v>
      </c>
      <c r="I20" s="21">
        <v>1017978</v>
      </c>
      <c r="J20" s="21">
        <v>1146227</v>
      </c>
      <c r="K20" s="21">
        <v>1230108</v>
      </c>
      <c r="L20" s="21">
        <v>1307464</v>
      </c>
    </row>
    <row r="21" spans="1:12" ht="17.25" customHeight="1">
      <c r="A21" s="27" t="s">
        <v>56</v>
      </c>
      <c r="B21" s="28" t="s">
        <v>46</v>
      </c>
      <c r="C21" s="21">
        <v>-444729</v>
      </c>
      <c r="D21" s="21">
        <v>-28500</v>
      </c>
      <c r="E21" s="21">
        <v>-24640</v>
      </c>
      <c r="F21" s="21">
        <v>-22640</v>
      </c>
      <c r="G21" s="21">
        <v>-22640</v>
      </c>
      <c r="H21" s="21">
        <v>-293724</v>
      </c>
      <c r="I21" s="21">
        <v>0</v>
      </c>
      <c r="J21" s="21">
        <v>0</v>
      </c>
      <c r="K21" s="21">
        <v>0</v>
      </c>
      <c r="L21" s="21">
        <v>0</v>
      </c>
    </row>
  </sheetData>
  <sheetProtection/>
  <mergeCells count="16">
    <mergeCell ref="A17:G17"/>
    <mergeCell ref="H2:H3"/>
    <mergeCell ref="I2:I3"/>
    <mergeCell ref="J2:J3"/>
    <mergeCell ref="F2:F3"/>
    <mergeCell ref="G2:G3"/>
    <mergeCell ref="K2:K3"/>
    <mergeCell ref="L2:L3"/>
    <mergeCell ref="A4:G4"/>
    <mergeCell ref="A1:A3"/>
    <mergeCell ref="B1:B3"/>
    <mergeCell ref="C1:G1"/>
    <mergeCell ref="H1:L1"/>
    <mergeCell ref="C2:C3"/>
    <mergeCell ref="D2:D3"/>
    <mergeCell ref="E2:E3"/>
  </mergeCells>
  <printOptions horizontalCentered="1"/>
  <pageMargins left="0.2362204724409449" right="0.2362204724409449" top="1.1811023622047245" bottom="0.2755905511811024" header="0.2755905511811024" footer="0.1968503937007874"/>
  <pageSetup firstPageNumber="192" useFirstPageNumber="1" fitToHeight="1" fitToWidth="1" horizontalDpi="300" verticalDpi="300" orientation="landscape" paperSize="9" scale="73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36"/>
  <sheetViews>
    <sheetView zoomScale="98" zoomScaleNormal="98" zoomScaleSheetLayoutView="110" zoomScalePageLayoutView="0" workbookViewId="0" topLeftCell="A25">
      <selection activeCell="C38" sqref="C38"/>
    </sheetView>
  </sheetViews>
  <sheetFormatPr defaultColWidth="9.00390625" defaultRowHeight="12.75"/>
  <cols>
    <col min="1" max="1" width="51.625" style="18" customWidth="1"/>
    <col min="2" max="2" width="9.00390625" style="18" customWidth="1"/>
    <col min="3" max="4" width="13.25390625" style="18" customWidth="1"/>
    <col min="5" max="5" width="13.375" style="18" customWidth="1"/>
    <col min="6" max="6" width="13.25390625" style="18" customWidth="1"/>
    <col min="7" max="7" width="13.625" style="18" customWidth="1"/>
    <col min="8" max="8" width="10.75390625" style="49" hidden="1" customWidth="1"/>
    <col min="9" max="9" width="9.125" style="49" hidden="1" customWidth="1"/>
    <col min="10" max="21" width="9.125" style="49" customWidth="1"/>
    <col min="22" max="16384" width="9.125" style="18" customWidth="1"/>
  </cols>
  <sheetData>
    <row r="1" spans="1:21" ht="19.5" customHeight="1">
      <c r="A1" s="191" t="s">
        <v>42</v>
      </c>
      <c r="B1" s="191" t="s">
        <v>43</v>
      </c>
      <c r="C1" s="194" t="s">
        <v>44</v>
      </c>
      <c r="D1" s="194"/>
      <c r="E1" s="194"/>
      <c r="F1" s="194"/>
      <c r="G1" s="194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18"/>
      <c r="U1" s="18"/>
    </row>
    <row r="2" spans="1:21" ht="12.75" customHeight="1">
      <c r="A2" s="191"/>
      <c r="B2" s="193"/>
      <c r="C2" s="191" t="s">
        <v>173</v>
      </c>
      <c r="D2" s="191" t="s">
        <v>162</v>
      </c>
      <c r="E2" s="191" t="s">
        <v>174</v>
      </c>
      <c r="F2" s="191" t="s">
        <v>175</v>
      </c>
      <c r="G2" s="191" t="s">
        <v>176</v>
      </c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18"/>
      <c r="U2" s="18"/>
    </row>
    <row r="3" spans="1:21" ht="12.75">
      <c r="A3" s="191"/>
      <c r="B3" s="193"/>
      <c r="C3" s="191"/>
      <c r="D3" s="191"/>
      <c r="E3" s="191"/>
      <c r="F3" s="191"/>
      <c r="G3" s="191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18"/>
      <c r="U3" s="18"/>
    </row>
    <row r="4" spans="1:7" ht="15">
      <c r="A4" s="192" t="s">
        <v>120</v>
      </c>
      <c r="B4" s="192"/>
      <c r="C4" s="192"/>
      <c r="D4" s="192"/>
      <c r="E4" s="192"/>
      <c r="F4" s="192"/>
      <c r="G4" s="192"/>
    </row>
    <row r="5" spans="1:21" ht="23.25" customHeight="1">
      <c r="A5" s="116" t="s">
        <v>60</v>
      </c>
      <c r="B5" s="117" t="s">
        <v>46</v>
      </c>
      <c r="C5" s="51">
        <v>5790613</v>
      </c>
      <c r="D5" s="51">
        <v>5950342</v>
      </c>
      <c r="E5" s="51">
        <v>6067624</v>
      </c>
      <c r="F5" s="51">
        <v>6356175</v>
      </c>
      <c r="G5" s="51">
        <v>6520973</v>
      </c>
      <c r="K5" s="174"/>
      <c r="L5" s="174"/>
      <c r="T5" s="18"/>
      <c r="U5" s="18"/>
    </row>
    <row r="6" spans="1:21" ht="12.75">
      <c r="A6" s="118" t="s">
        <v>13</v>
      </c>
      <c r="B6" s="117" t="s">
        <v>14</v>
      </c>
      <c r="C6" s="52">
        <f>C5/5780192/1.1*100</f>
        <v>91.07298920803385</v>
      </c>
      <c r="D6" s="52">
        <f>D5/C5/1.025*100</f>
        <v>100.25210987709028</v>
      </c>
      <c r="E6" s="52">
        <f>E5/D5/1.027*100</f>
        <v>99.29017795384068</v>
      </c>
      <c r="F6" s="52">
        <f>F5/E5/1.028*100</f>
        <v>101.90231976956616</v>
      </c>
      <c r="G6" s="52">
        <f>G5/F5/1.026*100</f>
        <v>99.99290723650563</v>
      </c>
      <c r="K6" s="174"/>
      <c r="L6" s="174"/>
      <c r="T6" s="18"/>
      <c r="U6" s="18"/>
    </row>
    <row r="7" spans="1:21" ht="12.75">
      <c r="A7" s="116" t="s">
        <v>61</v>
      </c>
      <c r="B7" s="117" t="s">
        <v>46</v>
      </c>
      <c r="C7" s="51">
        <v>890147</v>
      </c>
      <c r="D7" s="51">
        <v>1010468</v>
      </c>
      <c r="E7" s="51">
        <v>1184900</v>
      </c>
      <c r="F7" s="51">
        <v>1327300</v>
      </c>
      <c r="G7" s="51">
        <v>1429800</v>
      </c>
      <c r="K7" s="173"/>
      <c r="L7" s="173"/>
      <c r="M7" s="173"/>
      <c r="N7" s="173"/>
      <c r="O7" s="173"/>
      <c r="T7" s="18"/>
      <c r="U7" s="18"/>
    </row>
    <row r="8" spans="1:21" ht="15">
      <c r="A8" s="195" t="s">
        <v>119</v>
      </c>
      <c r="B8" s="195"/>
      <c r="C8" s="195"/>
      <c r="D8" s="195"/>
      <c r="E8" s="195"/>
      <c r="F8" s="195"/>
      <c r="G8" s="195"/>
      <c r="T8" s="18"/>
      <c r="U8" s="18"/>
    </row>
    <row r="9" spans="1:21" ht="24" customHeight="1">
      <c r="A9" s="116" t="s">
        <v>17</v>
      </c>
      <c r="B9" s="120" t="s">
        <v>46</v>
      </c>
      <c r="C9" s="51">
        <f>SUM(C12:C14)</f>
        <v>6985274</v>
      </c>
      <c r="D9" s="51">
        <f>SUM(D12:D14)</f>
        <v>6686600</v>
      </c>
      <c r="E9" s="51">
        <f>SUM(E12:E14)</f>
        <v>6903331</v>
      </c>
      <c r="F9" s="51">
        <f>SUM(F12:F14)</f>
        <v>5998296</v>
      </c>
      <c r="G9" s="51">
        <f>SUM(G12:G14)</f>
        <v>5350027</v>
      </c>
      <c r="T9" s="18"/>
      <c r="U9" s="18"/>
    </row>
    <row r="10" spans="1:21" ht="12.75">
      <c r="A10" s="118" t="s">
        <v>13</v>
      </c>
      <c r="B10" s="117" t="s">
        <v>14</v>
      </c>
      <c r="C10" s="52">
        <f>C9/7833026/1.056*100</f>
        <v>84.4481149817491</v>
      </c>
      <c r="D10" s="52">
        <f>D9/C9/1.054*100</f>
        <v>90.81995595875668</v>
      </c>
      <c r="E10" s="52">
        <f>E9/D9/1.045*100</f>
        <v>98.79547712149288</v>
      </c>
      <c r="F10" s="52">
        <f>F9/E9/1.044*100</f>
        <v>83.22785410222345</v>
      </c>
      <c r="G10" s="52">
        <f>G9/F9/1.041*100</f>
        <v>85.67958436283001</v>
      </c>
      <c r="T10" s="18"/>
      <c r="U10" s="18"/>
    </row>
    <row r="11" spans="1:21" ht="11.25" customHeight="1">
      <c r="A11" s="116" t="s">
        <v>62</v>
      </c>
      <c r="B11" s="120"/>
      <c r="C11" s="51"/>
      <c r="D11" s="51"/>
      <c r="E11" s="51"/>
      <c r="F11" s="51"/>
      <c r="G11" s="51"/>
      <c r="T11" s="18"/>
      <c r="U11" s="18"/>
    </row>
    <row r="12" spans="1:21" ht="11.25" customHeight="1">
      <c r="A12" s="116" t="s">
        <v>63</v>
      </c>
      <c r="B12" s="120" t="s">
        <v>46</v>
      </c>
      <c r="C12" s="51">
        <v>1837908</v>
      </c>
      <c r="D12" s="51">
        <v>1726715</v>
      </c>
      <c r="E12" s="51">
        <v>1501836</v>
      </c>
      <c r="F12" s="51">
        <v>1518143</v>
      </c>
      <c r="G12" s="51">
        <v>1554840</v>
      </c>
      <c r="T12" s="18"/>
      <c r="U12" s="18"/>
    </row>
    <row r="13" spans="1:21" ht="11.25" customHeight="1">
      <c r="A13" s="116" t="s">
        <v>64</v>
      </c>
      <c r="B13" s="120" t="s">
        <v>46</v>
      </c>
      <c r="C13" s="51">
        <v>1224511</v>
      </c>
      <c r="D13" s="51">
        <v>1111057</v>
      </c>
      <c r="E13" s="51">
        <v>824680</v>
      </c>
      <c r="F13" s="51">
        <v>555902</v>
      </c>
      <c r="G13" s="51">
        <v>406481</v>
      </c>
      <c r="T13" s="18"/>
      <c r="U13" s="18"/>
    </row>
    <row r="14" spans="1:21" ht="11.25" customHeight="1">
      <c r="A14" s="121" t="s">
        <v>65</v>
      </c>
      <c r="B14" s="120" t="s">
        <v>46</v>
      </c>
      <c r="C14" s="51">
        <v>3922855</v>
      </c>
      <c r="D14" s="51">
        <v>3848828</v>
      </c>
      <c r="E14" s="51">
        <v>4576815</v>
      </c>
      <c r="F14" s="51">
        <v>3924251</v>
      </c>
      <c r="G14" s="51">
        <v>3388706</v>
      </c>
      <c r="T14" s="18"/>
      <c r="U14" s="18"/>
    </row>
    <row r="15" spans="1:21" ht="11.25" customHeight="1">
      <c r="A15" s="122" t="s">
        <v>66</v>
      </c>
      <c r="B15" s="120" t="s">
        <v>46</v>
      </c>
      <c r="C15" s="51">
        <v>206000</v>
      </c>
      <c r="D15" s="51">
        <v>113000</v>
      </c>
      <c r="E15" s="51">
        <v>69000</v>
      </c>
      <c r="F15" s="51">
        <v>70000</v>
      </c>
      <c r="G15" s="51">
        <v>70000</v>
      </c>
      <c r="T15" s="18"/>
      <c r="U15" s="18"/>
    </row>
    <row r="16" spans="1:21" ht="14.25">
      <c r="A16" s="196" t="s">
        <v>67</v>
      </c>
      <c r="B16" s="196"/>
      <c r="C16" s="196"/>
      <c r="D16" s="196"/>
      <c r="E16" s="196"/>
      <c r="F16" s="196"/>
      <c r="G16" s="196"/>
      <c r="T16" s="18"/>
      <c r="U16" s="18"/>
    </row>
    <row r="17" spans="1:21" ht="12.75">
      <c r="A17" s="119" t="s">
        <v>68</v>
      </c>
      <c r="B17" s="120" t="s">
        <v>69</v>
      </c>
      <c r="C17" s="51">
        <v>106239</v>
      </c>
      <c r="D17" s="51">
        <v>115323</v>
      </c>
      <c r="E17" s="51">
        <v>118870</v>
      </c>
      <c r="F17" s="51">
        <v>113564</v>
      </c>
      <c r="G17" s="51">
        <v>109099</v>
      </c>
      <c r="T17" s="18"/>
      <c r="U17" s="18"/>
    </row>
    <row r="18" spans="1:21" ht="12" customHeight="1">
      <c r="A18" s="123" t="s">
        <v>70</v>
      </c>
      <c r="B18" s="120" t="s">
        <v>69</v>
      </c>
      <c r="C18" s="51">
        <v>9123</v>
      </c>
      <c r="D18" s="51">
        <v>5000</v>
      </c>
      <c r="E18" s="51">
        <v>3000</v>
      </c>
      <c r="F18" s="51">
        <v>3000</v>
      </c>
      <c r="G18" s="51">
        <v>3000</v>
      </c>
      <c r="T18" s="18"/>
      <c r="U18" s="18"/>
    </row>
    <row r="19" spans="1:21" ht="23.25" customHeight="1">
      <c r="A19" s="116" t="s">
        <v>71</v>
      </c>
      <c r="B19" s="120" t="s">
        <v>72</v>
      </c>
      <c r="C19" s="124">
        <v>250</v>
      </c>
      <c r="D19" s="124"/>
      <c r="E19" s="90">
        <v>80</v>
      </c>
      <c r="F19" s="125"/>
      <c r="G19" s="125"/>
      <c r="T19" s="18"/>
      <c r="U19" s="18"/>
    </row>
    <row r="20" spans="1:21" ht="11.25" customHeight="1">
      <c r="A20" s="116" t="s">
        <v>73</v>
      </c>
      <c r="B20" s="120" t="s">
        <v>72</v>
      </c>
      <c r="C20" s="124"/>
      <c r="D20" s="124"/>
      <c r="E20" s="90"/>
      <c r="F20" s="125"/>
      <c r="G20" s="125"/>
      <c r="T20" s="18"/>
      <c r="U20" s="18"/>
    </row>
    <row r="21" spans="1:21" ht="11.25" customHeight="1">
      <c r="A21" s="116" t="s">
        <v>74</v>
      </c>
      <c r="B21" s="120" t="s">
        <v>72</v>
      </c>
      <c r="C21" s="124"/>
      <c r="D21" s="124"/>
      <c r="E21" s="90"/>
      <c r="F21" s="125"/>
      <c r="G21" s="125"/>
      <c r="T21" s="18"/>
      <c r="U21" s="18"/>
    </row>
    <row r="22" spans="1:21" ht="23.25" customHeight="1">
      <c r="A22" s="116" t="s">
        <v>75</v>
      </c>
      <c r="B22" s="120" t="s">
        <v>72</v>
      </c>
      <c r="C22" s="124"/>
      <c r="D22" s="124"/>
      <c r="E22" s="90"/>
      <c r="F22" s="125"/>
      <c r="G22" s="125"/>
      <c r="T22" s="18"/>
      <c r="U22" s="18"/>
    </row>
    <row r="23" ht="13.5" customHeight="1"/>
    <row r="24" spans="1:8" ht="18" customHeight="1">
      <c r="A24" s="191" t="s">
        <v>42</v>
      </c>
      <c r="B24" s="191" t="s">
        <v>43</v>
      </c>
      <c r="C24" s="191" t="s">
        <v>57</v>
      </c>
      <c r="D24" s="191"/>
      <c r="E24" s="191"/>
      <c r="F24" s="191"/>
      <c r="G24" s="191"/>
      <c r="H24" s="50"/>
    </row>
    <row r="25" spans="1:8" ht="12.75" customHeight="1">
      <c r="A25" s="191"/>
      <c r="B25" s="191"/>
      <c r="C25" s="191" t="s">
        <v>173</v>
      </c>
      <c r="D25" s="191" t="s">
        <v>162</v>
      </c>
      <c r="E25" s="191" t="s">
        <v>174</v>
      </c>
      <c r="F25" s="191" t="s">
        <v>175</v>
      </c>
      <c r="G25" s="191" t="s">
        <v>176</v>
      </c>
      <c r="H25" s="50"/>
    </row>
    <row r="26" spans="1:8" ht="12.75">
      <c r="A26" s="191"/>
      <c r="B26" s="191"/>
      <c r="C26" s="191"/>
      <c r="D26" s="191"/>
      <c r="E26" s="191"/>
      <c r="F26" s="191"/>
      <c r="G26" s="191"/>
      <c r="H26" s="50"/>
    </row>
    <row r="27" spans="1:7" ht="15">
      <c r="A27" s="192" t="s">
        <v>120</v>
      </c>
      <c r="B27" s="192"/>
      <c r="C27" s="192"/>
      <c r="D27" s="192"/>
      <c r="E27" s="192"/>
      <c r="F27" s="192"/>
      <c r="G27" s="192"/>
    </row>
    <row r="28" spans="1:8" ht="23.25" customHeight="1">
      <c r="A28" s="116" t="s">
        <v>60</v>
      </c>
      <c r="B28" s="117" t="s">
        <v>46</v>
      </c>
      <c r="C28" s="51">
        <v>675946</v>
      </c>
      <c r="D28" s="51">
        <v>900000</v>
      </c>
      <c r="E28" s="51">
        <v>1060000</v>
      </c>
      <c r="F28" s="51">
        <v>1170000</v>
      </c>
      <c r="G28" s="51">
        <v>1280000</v>
      </c>
      <c r="H28" s="49"/>
    </row>
    <row r="29" spans="1:8" ht="12.75" customHeight="1">
      <c r="A29" s="118" t="s">
        <v>13</v>
      </c>
      <c r="B29" s="117" t="s">
        <v>14</v>
      </c>
      <c r="C29" s="52">
        <f>C28/709315/1.1*100</f>
        <v>86.63236554088995</v>
      </c>
      <c r="D29" s="52">
        <f>D28/C28/1.025*100</f>
        <v>129.899249420487</v>
      </c>
      <c r="E29" s="52">
        <f>E28/D28/1.027*100</f>
        <v>114.68138050416532</v>
      </c>
      <c r="F29" s="52">
        <f>F28/E28/1.028*100</f>
        <v>107.37097129432493</v>
      </c>
      <c r="G29" s="52">
        <f>G28/F28/1.026*100</f>
        <v>106.62934639542827</v>
      </c>
      <c r="H29" s="49"/>
    </row>
    <row r="30" spans="1:8" ht="12" customHeight="1">
      <c r="A30" s="116" t="s">
        <v>61</v>
      </c>
      <c r="B30" s="117" t="s">
        <v>46</v>
      </c>
      <c r="C30" s="51">
        <v>265587</v>
      </c>
      <c r="D30" s="51">
        <v>450000</v>
      </c>
      <c r="E30" s="51">
        <v>600000</v>
      </c>
      <c r="F30" s="51">
        <v>700000</v>
      </c>
      <c r="G30" s="51">
        <v>800000</v>
      </c>
      <c r="H30" s="49"/>
    </row>
    <row r="31" spans="1:7" ht="15">
      <c r="A31" s="195" t="s">
        <v>119</v>
      </c>
      <c r="B31" s="195"/>
      <c r="C31" s="195"/>
      <c r="D31" s="195"/>
      <c r="E31" s="195"/>
      <c r="F31" s="195"/>
      <c r="G31" s="195"/>
    </row>
    <row r="32" spans="1:8" ht="24.75" customHeight="1">
      <c r="A32" s="116" t="s">
        <v>17</v>
      </c>
      <c r="B32" s="120" t="s">
        <v>46</v>
      </c>
      <c r="C32" s="126">
        <f>SUM(C34:C36)</f>
        <v>4017845</v>
      </c>
      <c r="D32" s="126">
        <f>SUM(D34:D36)</f>
        <v>4280033</v>
      </c>
      <c r="E32" s="126">
        <f>SUM(E34:E36)</f>
        <v>2269285</v>
      </c>
      <c r="F32" s="126">
        <f>SUM(F34:F36)</f>
        <v>2301511</v>
      </c>
      <c r="G32" s="126">
        <f>SUM(G34:G36)</f>
        <v>1551382</v>
      </c>
      <c r="H32" s="49"/>
    </row>
    <row r="33" spans="1:8" ht="12" customHeight="1">
      <c r="A33" s="118" t="s">
        <v>13</v>
      </c>
      <c r="B33" s="117" t="s">
        <v>14</v>
      </c>
      <c r="C33" s="52">
        <f>C32/5272380/1.056*100</f>
        <v>72.16432544925085</v>
      </c>
      <c r="D33" s="52">
        <f>D32/C32/1.054*100</f>
        <v>101.0679200396359</v>
      </c>
      <c r="E33" s="52">
        <f>E32/D32/1.045*100</f>
        <v>50.73709930043614</v>
      </c>
      <c r="F33" s="52">
        <f>F32/E32/1.044*100</f>
        <v>97.14568474683787</v>
      </c>
      <c r="G33" s="52">
        <f>G32/F32/1.041*100</f>
        <v>64.75226490421694</v>
      </c>
      <c r="H33" s="49"/>
    </row>
    <row r="34" spans="1:8" ht="12" customHeight="1">
      <c r="A34" s="116" t="s">
        <v>63</v>
      </c>
      <c r="B34" s="120" t="s">
        <v>46</v>
      </c>
      <c r="C34" s="51">
        <v>1667891</v>
      </c>
      <c r="D34" s="51">
        <v>1540528</v>
      </c>
      <c r="E34" s="51">
        <v>1119090</v>
      </c>
      <c r="F34" s="51">
        <v>933858</v>
      </c>
      <c r="G34" s="51">
        <v>1018065</v>
      </c>
      <c r="H34" s="49"/>
    </row>
    <row r="35" spans="1:8" ht="12" customHeight="1">
      <c r="A35" s="116" t="s">
        <v>64</v>
      </c>
      <c r="B35" s="120" t="s">
        <v>46</v>
      </c>
      <c r="C35" s="51">
        <v>1221746</v>
      </c>
      <c r="D35" s="51">
        <v>1111057</v>
      </c>
      <c r="E35" s="51">
        <v>824680</v>
      </c>
      <c r="F35" s="51">
        <v>555902</v>
      </c>
      <c r="G35" s="51">
        <v>406481</v>
      </c>
      <c r="H35" s="49"/>
    </row>
    <row r="36" spans="1:8" ht="12" customHeight="1">
      <c r="A36" s="121" t="s">
        <v>65</v>
      </c>
      <c r="B36" s="120" t="s">
        <v>46</v>
      </c>
      <c r="C36" s="51">
        <v>1128208</v>
      </c>
      <c r="D36" s="51">
        <v>1628448</v>
      </c>
      <c r="E36" s="51">
        <v>325515</v>
      </c>
      <c r="F36" s="51">
        <v>811751</v>
      </c>
      <c r="G36" s="51">
        <v>126836</v>
      </c>
      <c r="H36" s="49"/>
    </row>
  </sheetData>
  <sheetProtection/>
  <mergeCells count="21">
    <mergeCell ref="A31:G31"/>
    <mergeCell ref="A4:G4"/>
    <mergeCell ref="A8:G8"/>
    <mergeCell ref="A16:G16"/>
    <mergeCell ref="A24:A26"/>
    <mergeCell ref="D25:D26"/>
    <mergeCell ref="C24:G24"/>
    <mergeCell ref="F25:F26"/>
    <mergeCell ref="A27:G27"/>
    <mergeCell ref="F2:F3"/>
    <mergeCell ref="B24:B26"/>
    <mergeCell ref="C25:C26"/>
    <mergeCell ref="E25:E26"/>
    <mergeCell ref="G25:G26"/>
    <mergeCell ref="A1:A3"/>
    <mergeCell ref="B1:B3"/>
    <mergeCell ref="C1:G1"/>
    <mergeCell ref="C2:C3"/>
    <mergeCell ref="D2:D3"/>
    <mergeCell ref="E2:E3"/>
    <mergeCell ref="G2:G3"/>
  </mergeCells>
  <printOptions horizontalCentered="1"/>
  <pageMargins left="0.8267716535433072" right="0.2362204724409449" top="0.47" bottom="0.15748031496062992" header="0.2755905511811024" footer="0.1968503937007874"/>
  <pageSetup firstPageNumber="193" useFirstPageNumber="1" fitToHeight="8" horizontalDpi="300" verticalDpi="300" orientation="landscape" paperSize="9" scale="9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11"/>
  <sheetViews>
    <sheetView zoomScale="80" zoomScaleNormal="80" zoomScalePageLayoutView="0" workbookViewId="0" topLeftCell="A1">
      <selection activeCell="P7" sqref="P7"/>
    </sheetView>
  </sheetViews>
  <sheetFormatPr defaultColWidth="9.00390625" defaultRowHeight="12.75"/>
  <cols>
    <col min="1" max="1" width="30.375" style="0" customWidth="1"/>
    <col min="2" max="12" width="9.75390625" style="0" customWidth="1"/>
  </cols>
  <sheetData>
    <row r="1" spans="1:12" ht="44.25" customHeight="1">
      <c r="A1" s="191" t="s">
        <v>42</v>
      </c>
      <c r="B1" s="191" t="s">
        <v>43</v>
      </c>
      <c r="C1" s="191" t="s">
        <v>44</v>
      </c>
      <c r="D1" s="191"/>
      <c r="E1" s="191"/>
      <c r="F1" s="191"/>
      <c r="G1" s="191"/>
      <c r="H1" s="191" t="s">
        <v>135</v>
      </c>
      <c r="I1" s="191"/>
      <c r="J1" s="191"/>
      <c r="K1" s="191"/>
      <c r="L1" s="191"/>
    </row>
    <row r="2" spans="1:12" ht="24" customHeight="1">
      <c r="A2" s="191"/>
      <c r="B2" s="191"/>
      <c r="C2" s="191" t="s">
        <v>173</v>
      </c>
      <c r="D2" s="191" t="s">
        <v>162</v>
      </c>
      <c r="E2" s="191" t="s">
        <v>174</v>
      </c>
      <c r="F2" s="191" t="s">
        <v>175</v>
      </c>
      <c r="G2" s="191" t="s">
        <v>176</v>
      </c>
      <c r="H2" s="191" t="s">
        <v>173</v>
      </c>
      <c r="I2" s="191" t="s">
        <v>162</v>
      </c>
      <c r="J2" s="191" t="s">
        <v>174</v>
      </c>
      <c r="K2" s="191" t="s">
        <v>175</v>
      </c>
      <c r="L2" s="191" t="s">
        <v>176</v>
      </c>
    </row>
    <row r="3" spans="1:12" ht="24" customHeight="1">
      <c r="A3" s="191"/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</row>
    <row r="4" spans="1:12" ht="45.75" customHeight="1">
      <c r="A4" s="197" t="s">
        <v>17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9"/>
    </row>
    <row r="5" spans="1:12" ht="48.75" customHeight="1">
      <c r="A5" s="116" t="s">
        <v>17</v>
      </c>
      <c r="B5" s="120" t="s">
        <v>46</v>
      </c>
      <c r="C5" s="126">
        <f>SUM(C8:C10)</f>
        <v>6985274</v>
      </c>
      <c r="D5" s="126">
        <f aca="true" t="shared" si="0" ref="D5:L5">SUM(D8:D10)</f>
        <v>6686600</v>
      </c>
      <c r="E5" s="126">
        <f t="shared" si="0"/>
        <v>6903331</v>
      </c>
      <c r="F5" s="126">
        <f t="shared" si="0"/>
        <v>5998296</v>
      </c>
      <c r="G5" s="126">
        <f t="shared" si="0"/>
        <v>5350027</v>
      </c>
      <c r="H5" s="126">
        <f>SUM(H8:H10)</f>
        <v>843479</v>
      </c>
      <c r="I5" s="126">
        <f t="shared" si="0"/>
        <v>648360</v>
      </c>
      <c r="J5" s="126">
        <f t="shared" si="0"/>
        <v>1419530</v>
      </c>
      <c r="K5" s="126">
        <f t="shared" si="0"/>
        <v>692000</v>
      </c>
      <c r="L5" s="126">
        <f t="shared" si="0"/>
        <v>564000</v>
      </c>
    </row>
    <row r="6" spans="1:12" ht="35.25" customHeight="1">
      <c r="A6" s="118" t="s">
        <v>13</v>
      </c>
      <c r="B6" s="117" t="s">
        <v>14</v>
      </c>
      <c r="C6" s="52">
        <f>C5/7833026/1.056*100</f>
        <v>84.4481149817491</v>
      </c>
      <c r="D6" s="52">
        <f>D5/C5/1.054*100</f>
        <v>90.81995595875668</v>
      </c>
      <c r="E6" s="52">
        <f>E5/D5/1.045*100</f>
        <v>98.79547712149288</v>
      </c>
      <c r="F6" s="52">
        <f>F5/E5/1.044*100</f>
        <v>83.22785410222345</v>
      </c>
      <c r="G6" s="52">
        <f>G5/F5/1.041*100</f>
        <v>85.67958436283001</v>
      </c>
      <c r="H6" s="52">
        <f>H5/681277/1.056*100</f>
        <v>117.2429207253882</v>
      </c>
      <c r="I6" s="52">
        <f>I5/H5/1.054*100</f>
        <v>72.92917962278993</v>
      </c>
      <c r="J6" s="52">
        <f>J5/I5/1.045*100</f>
        <v>209.51352857603771</v>
      </c>
      <c r="K6" s="52">
        <f>K5/J5/1.044*100</f>
        <v>46.693993719199</v>
      </c>
      <c r="L6" s="52">
        <f>L5/K5/1.041*100</f>
        <v>78.29288201096101</v>
      </c>
    </row>
    <row r="7" spans="1:12" ht="35.25" customHeight="1">
      <c r="A7" s="116" t="s">
        <v>62</v>
      </c>
      <c r="B7" s="120"/>
      <c r="C7" s="124"/>
      <c r="D7" s="124"/>
      <c r="E7" s="90"/>
      <c r="F7" s="90"/>
      <c r="G7" s="90"/>
      <c r="H7" s="127"/>
      <c r="I7" s="127"/>
      <c r="J7" s="127"/>
      <c r="K7" s="127"/>
      <c r="L7" s="127"/>
    </row>
    <row r="8" spans="1:12" ht="48.75" customHeight="1">
      <c r="A8" s="116" t="s">
        <v>63</v>
      </c>
      <c r="B8" s="120" t="s">
        <v>46</v>
      </c>
      <c r="C8" s="126">
        <v>1837908</v>
      </c>
      <c r="D8" s="126">
        <v>1726715</v>
      </c>
      <c r="E8" s="126">
        <v>1501836</v>
      </c>
      <c r="F8" s="126">
        <v>1518143</v>
      </c>
      <c r="G8" s="126">
        <v>1554840</v>
      </c>
      <c r="H8" s="126">
        <v>474434</v>
      </c>
      <c r="I8" s="126">
        <v>385333</v>
      </c>
      <c r="J8" s="126">
        <v>304530</v>
      </c>
      <c r="K8" s="126">
        <v>632000</v>
      </c>
      <c r="L8" s="126">
        <v>534000</v>
      </c>
    </row>
    <row r="9" spans="1:12" ht="32.25" customHeight="1">
      <c r="A9" s="116" t="s">
        <v>64</v>
      </c>
      <c r="B9" s="120" t="s">
        <v>46</v>
      </c>
      <c r="C9" s="126">
        <v>1224511</v>
      </c>
      <c r="D9" s="126">
        <v>1111057</v>
      </c>
      <c r="E9" s="126">
        <v>824680</v>
      </c>
      <c r="F9" s="126">
        <v>555902</v>
      </c>
      <c r="G9" s="126">
        <v>406481</v>
      </c>
      <c r="H9" s="126"/>
      <c r="I9" s="126"/>
      <c r="J9" s="126"/>
      <c r="K9" s="126"/>
      <c r="L9" s="126"/>
    </row>
    <row r="10" spans="1:12" ht="32.25" customHeight="1">
      <c r="A10" s="121" t="s">
        <v>65</v>
      </c>
      <c r="B10" s="120" t="s">
        <v>46</v>
      </c>
      <c r="C10" s="126">
        <v>3922855</v>
      </c>
      <c r="D10" s="126">
        <v>3848828</v>
      </c>
      <c r="E10" s="126">
        <v>4576815</v>
      </c>
      <c r="F10" s="126">
        <v>3924251</v>
      </c>
      <c r="G10" s="126">
        <v>3388706</v>
      </c>
      <c r="H10" s="126">
        <v>369045</v>
      </c>
      <c r="I10" s="126">
        <v>263027</v>
      </c>
      <c r="J10" s="126">
        <v>1115000</v>
      </c>
      <c r="K10" s="126">
        <v>60000</v>
      </c>
      <c r="L10" s="126">
        <v>30000</v>
      </c>
    </row>
    <row r="11" spans="1:12" ht="32.25" customHeight="1">
      <c r="A11" s="128" t="s">
        <v>156</v>
      </c>
      <c r="B11" s="120" t="s">
        <v>46</v>
      </c>
      <c r="C11" s="126">
        <v>206000</v>
      </c>
      <c r="D11" s="126">
        <v>113000</v>
      </c>
      <c r="E11" s="126">
        <v>69000</v>
      </c>
      <c r="F11" s="126">
        <v>70000</v>
      </c>
      <c r="G11" s="126">
        <v>70000</v>
      </c>
      <c r="H11" s="127"/>
      <c r="I11" s="127"/>
      <c r="J11" s="127"/>
      <c r="K11" s="127"/>
      <c r="L11" s="127"/>
    </row>
  </sheetData>
  <sheetProtection/>
  <mergeCells count="15">
    <mergeCell ref="C2:C3"/>
    <mergeCell ref="J2:J3"/>
    <mergeCell ref="K2:K3"/>
    <mergeCell ref="L2:L3"/>
    <mergeCell ref="I2:I3"/>
    <mergeCell ref="A4:L4"/>
    <mergeCell ref="D2:D3"/>
    <mergeCell ref="E2:E3"/>
    <mergeCell ref="F2:F3"/>
    <mergeCell ref="G2:G3"/>
    <mergeCell ref="H2:H3"/>
    <mergeCell ref="A1:A3"/>
    <mergeCell ref="B1:B3"/>
    <mergeCell ref="C1:G1"/>
    <mergeCell ref="H1:L1"/>
  </mergeCells>
  <printOptions/>
  <pageMargins left="0.5118110236220472" right="0.31496062992125984" top="1.220472440944882" bottom="0.7480314960629921" header="0.31496062992125984" footer="0.31496062992125984"/>
  <pageSetup firstPageNumber="194" useFirstPageNumber="1" horizontalDpi="600" verticalDpi="600" orientation="landscape" paperSize="9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10"/>
  <sheetViews>
    <sheetView zoomScale="78" zoomScaleNormal="78" zoomScaleSheetLayoutView="100" workbookViewId="0" topLeftCell="A1">
      <selection activeCell="K2" sqref="K2"/>
    </sheetView>
  </sheetViews>
  <sheetFormatPr defaultColWidth="9.00390625" defaultRowHeight="12.75"/>
  <cols>
    <col min="1" max="1" width="35.875" style="18" customWidth="1"/>
    <col min="2" max="2" width="9.00390625" style="18" customWidth="1"/>
    <col min="3" max="7" width="13.00390625" style="18" customWidth="1"/>
    <col min="8" max="16384" width="9.125" style="18" customWidth="1"/>
  </cols>
  <sheetData>
    <row r="1" spans="1:7" ht="27.75" customHeight="1">
      <c r="A1" s="189" t="s">
        <v>42</v>
      </c>
      <c r="B1" s="189" t="s">
        <v>43</v>
      </c>
      <c r="C1" s="200" t="s">
        <v>44</v>
      </c>
      <c r="D1" s="201"/>
      <c r="E1" s="201"/>
      <c r="F1" s="201"/>
      <c r="G1" s="202"/>
    </row>
    <row r="2" spans="1:7" ht="18.75" customHeight="1">
      <c r="A2" s="189"/>
      <c r="B2" s="189"/>
      <c r="C2" s="189" t="s">
        <v>177</v>
      </c>
      <c r="D2" s="189" t="s">
        <v>162</v>
      </c>
      <c r="E2" s="189" t="s">
        <v>178</v>
      </c>
      <c r="F2" s="189" t="s">
        <v>180</v>
      </c>
      <c r="G2" s="189" t="s">
        <v>181</v>
      </c>
    </row>
    <row r="3" spans="1:7" ht="18.75" customHeight="1">
      <c r="A3" s="189"/>
      <c r="B3" s="189"/>
      <c r="C3" s="189"/>
      <c r="D3" s="189"/>
      <c r="E3" s="189"/>
      <c r="F3" s="189"/>
      <c r="G3" s="189"/>
    </row>
    <row r="4" spans="1:7" ht="32.25" customHeight="1">
      <c r="A4" s="203" t="s">
        <v>18</v>
      </c>
      <c r="B4" s="204"/>
      <c r="C4" s="204"/>
      <c r="D4" s="204"/>
      <c r="E4" s="204"/>
      <c r="F4" s="204"/>
      <c r="G4" s="205"/>
    </row>
    <row r="5" spans="1:7" ht="30.75" customHeight="1">
      <c r="A5" s="53" t="s">
        <v>19</v>
      </c>
      <c r="B5" s="86" t="s">
        <v>20</v>
      </c>
      <c r="C5" s="54">
        <v>113.639</v>
      </c>
      <c r="D5" s="54">
        <v>115.15</v>
      </c>
      <c r="E5" s="54">
        <v>116.55</v>
      </c>
      <c r="F5" s="54">
        <v>117.85</v>
      </c>
      <c r="G5" s="54">
        <v>119.15</v>
      </c>
    </row>
    <row r="6" spans="1:7" ht="30.75" customHeight="1">
      <c r="A6" s="55" t="s">
        <v>76</v>
      </c>
      <c r="B6" s="86" t="s">
        <v>20</v>
      </c>
      <c r="C6" s="54">
        <f>20.639+1.525-0.92+0.05</f>
        <v>21.293999999999997</v>
      </c>
      <c r="D6" s="54">
        <v>22.083</v>
      </c>
      <c r="E6" s="54">
        <v>22.79</v>
      </c>
      <c r="F6" s="54">
        <v>23.417</v>
      </c>
      <c r="G6" s="54">
        <v>24.006</v>
      </c>
    </row>
    <row r="7" spans="1:7" ht="30.75" customHeight="1">
      <c r="A7" s="35" t="s">
        <v>77</v>
      </c>
      <c r="B7" s="56" t="s">
        <v>20</v>
      </c>
      <c r="C7" s="54">
        <v>47.9</v>
      </c>
      <c r="D7" s="54">
        <v>47.95</v>
      </c>
      <c r="E7" s="54">
        <v>48.05</v>
      </c>
      <c r="F7" s="54">
        <v>48.25</v>
      </c>
      <c r="G7" s="54">
        <v>48.45</v>
      </c>
    </row>
    <row r="8" spans="1:7" ht="32.25" customHeight="1">
      <c r="A8" s="203" t="s">
        <v>22</v>
      </c>
      <c r="B8" s="204"/>
      <c r="C8" s="204"/>
      <c r="D8" s="204"/>
      <c r="E8" s="204"/>
      <c r="F8" s="204"/>
      <c r="G8" s="205"/>
    </row>
    <row r="9" spans="1:7" ht="30.75" customHeight="1">
      <c r="A9" s="34" t="s">
        <v>179</v>
      </c>
      <c r="B9" s="56" t="s">
        <v>46</v>
      </c>
      <c r="C9" s="57">
        <v>20565410</v>
      </c>
      <c r="D9" s="57">
        <v>21513286.49117954</v>
      </c>
      <c r="E9" s="57">
        <v>22506711.286774322</v>
      </c>
      <c r="F9" s="57">
        <v>23594808.90007665</v>
      </c>
      <c r="G9" s="57">
        <v>24758778.721515145</v>
      </c>
    </row>
    <row r="10" spans="1:7" ht="30.75" customHeight="1">
      <c r="A10" s="58" t="s">
        <v>78</v>
      </c>
      <c r="B10" s="56" t="s">
        <v>79</v>
      </c>
      <c r="C10" s="57">
        <v>35778.37508698678</v>
      </c>
      <c r="D10" s="57">
        <v>37388.40196590118</v>
      </c>
      <c r="E10" s="57">
        <v>39033.49165240084</v>
      </c>
      <c r="F10" s="57">
        <v>40750.965285106475</v>
      </c>
      <c r="G10" s="57">
        <v>42584.75872293626</v>
      </c>
    </row>
  </sheetData>
  <sheetProtection/>
  <mergeCells count="10">
    <mergeCell ref="C1:G1"/>
    <mergeCell ref="A4:G4"/>
    <mergeCell ref="A8:G8"/>
    <mergeCell ref="A1:A3"/>
    <mergeCell ref="B1:B3"/>
    <mergeCell ref="C2:C3"/>
    <mergeCell ref="D2:D3"/>
    <mergeCell ref="E2:E3"/>
    <mergeCell ref="F2:F3"/>
    <mergeCell ref="G2:G3"/>
  </mergeCells>
  <printOptions horizontalCentered="1"/>
  <pageMargins left="0.8267716535433072" right="0.4330708661417323" top="1.299212598425197" bottom="0.8661417322834646" header="0.2755905511811024" footer="0.1968503937007874"/>
  <pageSetup firstPageNumber="195" useFirstPageNumber="1" horizontalDpi="300" verticalDpi="300" orientation="landscape" paperSize="9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24"/>
  <sheetViews>
    <sheetView zoomScale="76" zoomScaleNormal="76" zoomScaleSheetLayoutView="100" zoomScalePageLayoutView="0" workbookViewId="0" topLeftCell="A1">
      <selection activeCell="L29" sqref="L29"/>
    </sheetView>
  </sheetViews>
  <sheetFormatPr defaultColWidth="9.00390625" defaultRowHeight="12.75"/>
  <cols>
    <col min="1" max="1" width="64.00390625" style="0" customWidth="1"/>
    <col min="2" max="2" width="10.00390625" style="0" bestFit="1" customWidth="1"/>
    <col min="3" max="7" width="12.00390625" style="0" customWidth="1"/>
    <col min="8" max="8" width="7.00390625" style="0" customWidth="1"/>
    <col min="9" max="9" width="9.625" style="77" customWidth="1"/>
    <col min="10" max="13" width="9.125" style="77" customWidth="1"/>
    <col min="14" max="16384" width="9.125" style="61" customWidth="1"/>
  </cols>
  <sheetData>
    <row r="1" spans="1:13" ht="22.5" customHeight="1">
      <c r="A1" s="209" t="s">
        <v>80</v>
      </c>
      <c r="B1" s="210" t="s">
        <v>81</v>
      </c>
      <c r="C1" s="60" t="s">
        <v>4</v>
      </c>
      <c r="D1" s="60" t="s">
        <v>5</v>
      </c>
      <c r="E1" s="60" t="s">
        <v>157</v>
      </c>
      <c r="F1" s="60" t="s">
        <v>159</v>
      </c>
      <c r="G1" s="60" t="s">
        <v>182</v>
      </c>
      <c r="H1" s="61"/>
      <c r="I1"/>
      <c r="J1" s="61"/>
      <c r="K1" s="61"/>
      <c r="L1" s="61"/>
      <c r="M1" s="61"/>
    </row>
    <row r="2" spans="1:13" ht="22.5" customHeight="1">
      <c r="A2" s="209"/>
      <c r="B2" s="210"/>
      <c r="C2" s="60" t="s">
        <v>6</v>
      </c>
      <c r="D2" s="60" t="s">
        <v>7</v>
      </c>
      <c r="E2" s="211" t="s">
        <v>9</v>
      </c>
      <c r="F2" s="212"/>
      <c r="G2" s="213"/>
      <c r="H2" s="61"/>
      <c r="I2"/>
      <c r="J2" s="61"/>
      <c r="K2" s="61"/>
      <c r="L2" s="61"/>
      <c r="M2" s="61"/>
    </row>
    <row r="3" spans="1:13" ht="39.75" customHeight="1">
      <c r="A3" s="206" t="s">
        <v>27</v>
      </c>
      <c r="B3" s="207"/>
      <c r="C3" s="207"/>
      <c r="D3" s="207"/>
      <c r="E3" s="207"/>
      <c r="F3" s="207"/>
      <c r="G3" s="208"/>
      <c r="H3" s="61"/>
      <c r="I3"/>
      <c r="J3" s="61"/>
      <c r="K3" s="61"/>
      <c r="L3" s="61"/>
      <c r="M3" s="61"/>
    </row>
    <row r="4" spans="1:13" ht="20.25" customHeight="1">
      <c r="A4" s="129" t="s">
        <v>82</v>
      </c>
      <c r="B4" s="62" t="s">
        <v>38</v>
      </c>
      <c r="C4" s="66">
        <f>5262-1700</f>
        <v>3562</v>
      </c>
      <c r="D4" s="66">
        <f>C4+60+13</f>
        <v>3635</v>
      </c>
      <c r="E4" s="66">
        <f>D4+60</f>
        <v>3695</v>
      </c>
      <c r="F4" s="66">
        <f>E4+60</f>
        <v>3755</v>
      </c>
      <c r="G4" s="66">
        <f>F4+60</f>
        <v>3815</v>
      </c>
      <c r="H4" s="61"/>
      <c r="I4"/>
      <c r="J4" s="61"/>
      <c r="K4" s="61"/>
      <c r="L4" s="61"/>
      <c r="M4" s="61"/>
    </row>
    <row r="5" spans="1:13" ht="20.25" customHeight="1">
      <c r="A5" s="130" t="s">
        <v>183</v>
      </c>
      <c r="B5" s="62" t="s">
        <v>38</v>
      </c>
      <c r="C5" s="66">
        <v>2327</v>
      </c>
      <c r="D5" s="66">
        <v>2371</v>
      </c>
      <c r="E5" s="66">
        <v>2408</v>
      </c>
      <c r="F5" s="66">
        <v>2445</v>
      </c>
      <c r="G5" s="66">
        <v>2482</v>
      </c>
      <c r="H5" s="61"/>
      <c r="I5"/>
      <c r="J5" s="61"/>
      <c r="K5" s="61"/>
      <c r="L5" s="61"/>
      <c r="M5" s="61"/>
    </row>
    <row r="6" spans="1:13" ht="27.75" customHeight="1">
      <c r="A6" s="129" t="s">
        <v>83</v>
      </c>
      <c r="B6" s="62" t="s">
        <v>84</v>
      </c>
      <c r="C6" s="66">
        <v>18070</v>
      </c>
      <c r="D6" s="66">
        <v>18910</v>
      </c>
      <c r="E6" s="66">
        <v>18920</v>
      </c>
      <c r="F6" s="66">
        <v>19030</v>
      </c>
      <c r="G6" s="66">
        <v>19140</v>
      </c>
      <c r="H6" s="61"/>
      <c r="I6"/>
      <c r="J6" s="61"/>
      <c r="K6" s="61"/>
      <c r="L6" s="61"/>
      <c r="M6" s="61"/>
    </row>
    <row r="7" spans="1:13" ht="20.25" customHeight="1">
      <c r="A7" s="131" t="s">
        <v>90</v>
      </c>
      <c r="B7" s="63" t="s">
        <v>85</v>
      </c>
      <c r="C7" s="135">
        <f>SUM(C10,C11,C17:C21)</f>
        <v>65313386</v>
      </c>
      <c r="D7" s="135">
        <f>SUM(D10,D11,D17:D21)</f>
        <v>71168290</v>
      </c>
      <c r="E7" s="135">
        <f>SUM(E10,E11,E17:E21)</f>
        <v>75977177</v>
      </c>
      <c r="F7" s="135">
        <f>SUM(F10,F11,F17:F21)</f>
        <v>82633614</v>
      </c>
      <c r="G7" s="135">
        <f>SUM(G10,G11,G17:G21)</f>
        <v>89864611</v>
      </c>
      <c r="H7" s="61"/>
      <c r="I7"/>
      <c r="J7" s="61"/>
      <c r="K7" s="61"/>
      <c r="L7" s="61"/>
      <c r="M7" s="61"/>
    </row>
    <row r="8" spans="1:13" ht="15" customHeight="1">
      <c r="A8" s="64" t="s">
        <v>91</v>
      </c>
      <c r="B8" s="63" t="s">
        <v>14</v>
      </c>
      <c r="C8" s="25">
        <f>C7/53006796/1.076*100</f>
        <v>114.51394432980541</v>
      </c>
      <c r="D8" s="25">
        <f>D7/C7/1.05*100</f>
        <v>103.77554734265931</v>
      </c>
      <c r="E8" s="25">
        <f>E7/D7/1.047*100</f>
        <v>101.964722193208</v>
      </c>
      <c r="F8" s="25">
        <f>F7/E7/1.045*100</f>
        <v>104.07760834300804</v>
      </c>
      <c r="G8" s="25">
        <f>G7/F7/1.045*100</f>
        <v>104.06762926065531</v>
      </c>
      <c r="H8" s="61"/>
      <c r="I8"/>
      <c r="J8" s="61"/>
      <c r="K8" s="61"/>
      <c r="L8" s="61"/>
      <c r="M8" s="61"/>
    </row>
    <row r="9" spans="1:13" ht="15" customHeight="1">
      <c r="A9" s="64" t="s">
        <v>86</v>
      </c>
      <c r="B9" s="65"/>
      <c r="C9" s="133"/>
      <c r="D9" s="133"/>
      <c r="E9" s="133"/>
      <c r="F9" s="133"/>
      <c r="G9" s="133"/>
      <c r="H9" s="61"/>
      <c r="I9"/>
      <c r="J9" s="61"/>
      <c r="K9" s="61"/>
      <c r="L9" s="61"/>
      <c r="M9" s="61"/>
    </row>
    <row r="10" spans="1:13" ht="15" customHeight="1">
      <c r="A10" s="64" t="s">
        <v>184</v>
      </c>
      <c r="B10" s="63" t="s">
        <v>85</v>
      </c>
      <c r="C10" s="66">
        <v>5563</v>
      </c>
      <c r="D10" s="66">
        <v>5841</v>
      </c>
      <c r="E10" s="66">
        <v>6116</v>
      </c>
      <c r="F10" s="66">
        <v>6391</v>
      </c>
      <c r="G10" s="66">
        <v>6678</v>
      </c>
      <c r="H10" s="61"/>
      <c r="I10"/>
      <c r="J10" s="61"/>
      <c r="K10" s="61"/>
      <c r="L10" s="61"/>
      <c r="M10" s="61"/>
    </row>
    <row r="11" spans="1:13" ht="15" customHeight="1">
      <c r="A11" s="64" t="s">
        <v>185</v>
      </c>
      <c r="B11" s="63" t="s">
        <v>85</v>
      </c>
      <c r="C11" s="66">
        <f>SUM(C13:C16)</f>
        <v>9439298</v>
      </c>
      <c r="D11" s="66">
        <f>SUM(D13:D16)</f>
        <v>11523866</v>
      </c>
      <c r="E11" s="66">
        <f>SUM(E13:E16)</f>
        <v>12472552</v>
      </c>
      <c r="F11" s="66">
        <f>SUM(F13:F16)</f>
        <v>14114371</v>
      </c>
      <c r="G11" s="66">
        <f>SUM(G13:G16)</f>
        <v>15718124</v>
      </c>
      <c r="H11" s="61"/>
      <c r="I11"/>
      <c r="J11" s="61"/>
      <c r="K11" s="61"/>
      <c r="L11" s="61"/>
      <c r="M11" s="61"/>
    </row>
    <row r="12" spans="1:13" ht="15" customHeight="1">
      <c r="A12" s="64" t="s">
        <v>87</v>
      </c>
      <c r="B12" s="63"/>
      <c r="C12" s="91"/>
      <c r="D12" s="91"/>
      <c r="E12" s="91"/>
      <c r="F12" s="66"/>
      <c r="G12" s="66"/>
      <c r="H12" s="61"/>
      <c r="I12"/>
      <c r="J12" s="61"/>
      <c r="K12" s="61"/>
      <c r="L12" s="61"/>
      <c r="M12" s="61"/>
    </row>
    <row r="13" spans="1:13" ht="15" customHeight="1">
      <c r="A13" s="132" t="s">
        <v>186</v>
      </c>
      <c r="B13" s="62" t="s">
        <v>85</v>
      </c>
      <c r="C13" s="66">
        <v>173952</v>
      </c>
      <c r="D13" s="66">
        <v>180000</v>
      </c>
      <c r="E13" s="66">
        <v>185000</v>
      </c>
      <c r="F13" s="66">
        <v>190082</v>
      </c>
      <c r="G13" s="66">
        <v>190082</v>
      </c>
      <c r="H13" s="61"/>
      <c r="I13"/>
      <c r="J13" s="61"/>
      <c r="K13" s="61"/>
      <c r="L13" s="61"/>
      <c r="M13" s="61"/>
    </row>
    <row r="14" spans="1:13" ht="15" customHeight="1">
      <c r="A14" s="132" t="s">
        <v>187</v>
      </c>
      <c r="B14" s="62" t="s">
        <v>85</v>
      </c>
      <c r="C14" s="66">
        <v>9053275</v>
      </c>
      <c r="D14" s="66">
        <v>10513493</v>
      </c>
      <c r="E14" s="66">
        <v>11409205</v>
      </c>
      <c r="F14" s="66">
        <v>13019789</v>
      </c>
      <c r="G14" s="66">
        <v>14602213</v>
      </c>
      <c r="H14" s="61"/>
      <c r="I14"/>
      <c r="J14" s="61"/>
      <c r="K14" s="61"/>
      <c r="L14" s="61"/>
      <c r="M14" s="61"/>
    </row>
    <row r="15" spans="1:13" ht="27" customHeight="1">
      <c r="A15" s="132" t="s">
        <v>192</v>
      </c>
      <c r="B15" s="62" t="s">
        <v>85</v>
      </c>
      <c r="C15" s="66">
        <v>41087</v>
      </c>
      <c r="D15" s="66">
        <v>643485</v>
      </c>
      <c r="E15" s="66">
        <v>675650</v>
      </c>
      <c r="F15" s="66">
        <v>684013</v>
      </c>
      <c r="G15" s="66">
        <v>685990</v>
      </c>
      <c r="H15" s="61"/>
      <c r="I15"/>
      <c r="J15" s="61"/>
      <c r="K15" s="61"/>
      <c r="L15" s="61"/>
      <c r="M15" s="61"/>
    </row>
    <row r="16" spans="1:13" ht="37.5" customHeight="1">
      <c r="A16" s="132" t="s">
        <v>188</v>
      </c>
      <c r="B16" s="62" t="s">
        <v>85</v>
      </c>
      <c r="C16" s="66">
        <v>170984</v>
      </c>
      <c r="D16" s="66">
        <v>186888</v>
      </c>
      <c r="E16" s="66">
        <v>202697</v>
      </c>
      <c r="F16" s="66">
        <v>220487</v>
      </c>
      <c r="G16" s="66">
        <v>239839</v>
      </c>
      <c r="H16" s="61"/>
      <c r="I16"/>
      <c r="J16" s="61"/>
      <c r="K16" s="61"/>
      <c r="L16" s="61"/>
      <c r="M16" s="61"/>
    </row>
    <row r="17" spans="1:13" ht="15" customHeight="1">
      <c r="A17" s="64" t="s">
        <v>88</v>
      </c>
      <c r="B17" s="63" t="s">
        <v>85</v>
      </c>
      <c r="C17" s="66">
        <v>6495627</v>
      </c>
      <c r="D17" s="66">
        <v>6413934</v>
      </c>
      <c r="E17" s="66">
        <v>6359682</v>
      </c>
      <c r="F17" s="66">
        <v>6586442</v>
      </c>
      <c r="G17" s="66">
        <v>6656036</v>
      </c>
      <c r="H17" s="61"/>
      <c r="I17"/>
      <c r="J17" s="61"/>
      <c r="K17" s="61"/>
      <c r="L17" s="61"/>
      <c r="M17" s="61"/>
    </row>
    <row r="18" spans="1:13" ht="25.5" customHeight="1">
      <c r="A18" s="64" t="s">
        <v>189</v>
      </c>
      <c r="B18" s="63" t="s">
        <v>85</v>
      </c>
      <c r="C18" s="66">
        <v>32549653</v>
      </c>
      <c r="D18" s="66">
        <v>35190224</v>
      </c>
      <c r="E18" s="66">
        <v>37536908</v>
      </c>
      <c r="F18" s="66">
        <v>40548392</v>
      </c>
      <c r="G18" s="66">
        <v>44089594</v>
      </c>
      <c r="H18" s="61"/>
      <c r="I18"/>
      <c r="J18" s="61"/>
      <c r="K18" s="61"/>
      <c r="L18" s="61"/>
      <c r="M18" s="61"/>
    </row>
    <row r="19" spans="1:13" ht="15" customHeight="1">
      <c r="A19" s="64" t="s">
        <v>190</v>
      </c>
      <c r="B19" s="63" t="s">
        <v>85</v>
      </c>
      <c r="C19" s="66">
        <v>1503853</v>
      </c>
      <c r="D19" s="66">
        <v>1643732</v>
      </c>
      <c r="E19" s="66">
        <v>1782775</v>
      </c>
      <c r="F19" s="66">
        <v>1939246</v>
      </c>
      <c r="G19" s="66">
        <v>2111490</v>
      </c>
      <c r="H19" s="61"/>
      <c r="I19"/>
      <c r="J19" s="61"/>
      <c r="K19" s="61"/>
      <c r="L19" s="61"/>
      <c r="M19" s="61"/>
    </row>
    <row r="20" spans="1:13" ht="15" customHeight="1">
      <c r="A20" s="64" t="s">
        <v>191</v>
      </c>
      <c r="B20" s="63" t="s">
        <v>85</v>
      </c>
      <c r="C20" s="66">
        <v>3767940</v>
      </c>
      <c r="D20" s="66">
        <v>4046994</v>
      </c>
      <c r="E20" s="66">
        <v>4431944</v>
      </c>
      <c r="F20" s="66">
        <v>4872216</v>
      </c>
      <c r="G20" s="66">
        <v>5371595</v>
      </c>
      <c r="H20" s="61"/>
      <c r="I20"/>
      <c r="J20" s="61"/>
      <c r="K20" s="61"/>
      <c r="L20" s="61"/>
      <c r="M20" s="61"/>
    </row>
    <row r="21" spans="1:13" ht="15" customHeight="1">
      <c r="A21" s="64" t="s">
        <v>89</v>
      </c>
      <c r="B21" s="63" t="s">
        <v>85</v>
      </c>
      <c r="C21" s="66">
        <f>65313386-SUM(C10,C11,C17:C20)</f>
        <v>11551452</v>
      </c>
      <c r="D21" s="66">
        <f>71168290-SUM(D10,D11,D17:D20)</f>
        <v>12343699</v>
      </c>
      <c r="E21" s="66">
        <f>75977177-SUM(E10,E11,E17:E20)</f>
        <v>13387200</v>
      </c>
      <c r="F21" s="66">
        <f>82633614-SUM(F10,F11,F17:F20)</f>
        <v>14566556</v>
      </c>
      <c r="G21" s="66">
        <f>89864611-SUM(G10,G11,G17:G20)</f>
        <v>15911094</v>
      </c>
      <c r="H21" s="61"/>
      <c r="I21"/>
      <c r="J21" s="61"/>
      <c r="K21" s="61"/>
      <c r="L21" s="61"/>
      <c r="M21" s="61"/>
    </row>
    <row r="22" spans="1:13" ht="19.5" customHeight="1">
      <c r="A22" s="129" t="s">
        <v>92</v>
      </c>
      <c r="B22" s="62" t="s">
        <v>85</v>
      </c>
      <c r="C22" s="66">
        <v>2761429</v>
      </c>
      <c r="D22" s="66">
        <v>3313567</v>
      </c>
      <c r="E22" s="66">
        <v>4565046</v>
      </c>
      <c r="F22" s="66">
        <v>4136785</v>
      </c>
      <c r="G22" s="66">
        <v>3728645</v>
      </c>
      <c r="H22" s="61"/>
      <c r="I22"/>
      <c r="J22" s="61"/>
      <c r="K22" s="61"/>
      <c r="L22" s="61"/>
      <c r="M22" s="61"/>
    </row>
    <row r="23" spans="1:7" s="134" customFormat="1" ht="20.25" customHeight="1">
      <c r="A23" s="67" t="s">
        <v>93</v>
      </c>
      <c r="B23" s="62" t="s">
        <v>14</v>
      </c>
      <c r="C23" s="25">
        <f>C22/2476416/1.056*100</f>
        <v>105.59573122340242</v>
      </c>
      <c r="D23" s="25">
        <f>D22/C22/1.054*100</f>
        <v>113.84691432515143</v>
      </c>
      <c r="E23" s="25">
        <f>E22/D22/1.045*100</f>
        <v>131.8357248177066</v>
      </c>
      <c r="F23" s="25">
        <f>F22/E22/1.044*100</f>
        <v>86.79951394714536</v>
      </c>
      <c r="G23" s="25">
        <f>G22/F22/1.041*100</f>
        <v>86.58394252033446</v>
      </c>
    </row>
    <row r="24" spans="1:13" ht="20.25" customHeight="1">
      <c r="A24" s="129" t="s">
        <v>94</v>
      </c>
      <c r="B24" s="62" t="s">
        <v>95</v>
      </c>
      <c r="C24" s="66">
        <v>5549432</v>
      </c>
      <c r="D24" s="66">
        <v>5993793</v>
      </c>
      <c r="E24" s="66">
        <v>6062115</v>
      </c>
      <c r="F24" s="66">
        <v>6170367</v>
      </c>
      <c r="G24" s="66">
        <v>6295647</v>
      </c>
      <c r="H24" s="61"/>
      <c r="I24"/>
      <c r="J24" s="61"/>
      <c r="K24" s="61"/>
      <c r="L24" s="61"/>
      <c r="M24" s="61"/>
    </row>
  </sheetData>
  <sheetProtection/>
  <mergeCells count="4">
    <mergeCell ref="A3:G3"/>
    <mergeCell ref="A1:A2"/>
    <mergeCell ref="B1:B2"/>
    <mergeCell ref="E2:G2"/>
  </mergeCells>
  <printOptions/>
  <pageMargins left="0.5905511811023623" right="0.1968503937007874" top="0.984251968503937" bottom="0.3937007874015748" header="0.5118110236220472" footer="0.11811023622047245"/>
  <pageSetup firstPageNumber="196" useFirstPageNumber="1" horizontalDpi="600" verticalDpi="600" orientation="landscape" paperSize="9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15"/>
  <sheetViews>
    <sheetView zoomScale="98" zoomScaleNormal="98" zoomScaleSheetLayoutView="100" zoomScalePageLayoutView="0" workbookViewId="0" topLeftCell="A1">
      <selection activeCell="H5" sqref="H5"/>
    </sheetView>
  </sheetViews>
  <sheetFormatPr defaultColWidth="9.00390625" defaultRowHeight="12.75"/>
  <cols>
    <col min="1" max="1" width="51.625" style="18" customWidth="1"/>
    <col min="2" max="2" width="9.00390625" style="18" customWidth="1"/>
    <col min="3" max="7" width="15.875" style="18" customWidth="1"/>
    <col min="8" max="9" width="19.125" style="18" customWidth="1"/>
    <col min="10" max="16384" width="9.125" style="18" customWidth="1"/>
  </cols>
  <sheetData>
    <row r="1" spans="1:7" ht="34.5" customHeight="1">
      <c r="A1" s="189" t="s">
        <v>42</v>
      </c>
      <c r="B1" s="189" t="s">
        <v>43</v>
      </c>
      <c r="C1" s="200" t="s">
        <v>44</v>
      </c>
      <c r="D1" s="201"/>
      <c r="E1" s="201"/>
      <c r="F1" s="201"/>
      <c r="G1" s="202"/>
    </row>
    <row r="2" spans="1:7" ht="19.5" customHeight="1">
      <c r="A2" s="189"/>
      <c r="B2" s="189"/>
      <c r="C2" s="189" t="s">
        <v>161</v>
      </c>
      <c r="D2" s="189" t="s">
        <v>162</v>
      </c>
      <c r="E2" s="189" t="s">
        <v>45</v>
      </c>
      <c r="F2" s="189" t="s">
        <v>136</v>
      </c>
      <c r="G2" s="189" t="s">
        <v>163</v>
      </c>
    </row>
    <row r="3" spans="1:7" ht="19.5" customHeight="1">
      <c r="A3" s="189"/>
      <c r="B3" s="189"/>
      <c r="C3" s="189"/>
      <c r="D3" s="189"/>
      <c r="E3" s="189"/>
      <c r="F3" s="189"/>
      <c r="G3" s="189"/>
    </row>
    <row r="4" spans="1:7" ht="37.5" customHeight="1">
      <c r="A4" s="214" t="s">
        <v>151</v>
      </c>
      <c r="B4" s="215"/>
      <c r="C4" s="215"/>
      <c r="D4" s="215"/>
      <c r="E4" s="215"/>
      <c r="F4" s="215"/>
      <c r="G4" s="216"/>
    </row>
    <row r="5" spans="1:9" ht="53.25" customHeight="1">
      <c r="A5" s="35" t="s">
        <v>96</v>
      </c>
      <c r="B5" s="68" t="s">
        <v>97</v>
      </c>
      <c r="C5" s="34">
        <v>153419.175</v>
      </c>
      <c r="D5" s="34">
        <v>163204.38799999998</v>
      </c>
      <c r="E5" s="34">
        <v>174623.146</v>
      </c>
      <c r="F5" s="34">
        <v>189081.204</v>
      </c>
      <c r="G5" s="34">
        <v>204497.119</v>
      </c>
      <c r="H5" s="87"/>
      <c r="I5" s="87"/>
    </row>
    <row r="6" spans="1:8" ht="18" customHeight="1">
      <c r="A6" s="29"/>
      <c r="B6" s="30"/>
      <c r="C6" s="31"/>
      <c r="D6" s="136"/>
      <c r="E6" s="136"/>
      <c r="F6" s="136"/>
      <c r="G6" s="136"/>
      <c r="H6" s="136"/>
    </row>
    <row r="7" spans="3:8" ht="18" customHeight="1">
      <c r="C7" s="88"/>
      <c r="D7" s="137"/>
      <c r="E7" s="137"/>
      <c r="F7" s="137"/>
      <c r="G7" s="137"/>
      <c r="H7" s="138"/>
    </row>
    <row r="8" spans="1:7" ht="34.5" customHeight="1">
      <c r="A8" s="189" t="s">
        <v>42</v>
      </c>
      <c r="B8" s="189" t="s">
        <v>43</v>
      </c>
      <c r="C8" s="200" t="s">
        <v>57</v>
      </c>
      <c r="D8" s="201"/>
      <c r="E8" s="201"/>
      <c r="F8" s="201"/>
      <c r="G8" s="202"/>
    </row>
    <row r="9" spans="1:7" ht="19.5" customHeight="1">
      <c r="A9" s="189"/>
      <c r="B9" s="189"/>
      <c r="C9" s="189" t="s">
        <v>161</v>
      </c>
      <c r="D9" s="189" t="s">
        <v>162</v>
      </c>
      <c r="E9" s="189" t="s">
        <v>45</v>
      </c>
      <c r="F9" s="189" t="s">
        <v>136</v>
      </c>
      <c r="G9" s="189" t="s">
        <v>163</v>
      </c>
    </row>
    <row r="10" spans="1:7" ht="19.5" customHeight="1">
      <c r="A10" s="189"/>
      <c r="B10" s="189"/>
      <c r="C10" s="189"/>
      <c r="D10" s="189"/>
      <c r="E10" s="189"/>
      <c r="F10" s="189"/>
      <c r="G10" s="189"/>
    </row>
    <row r="11" spans="1:7" ht="37.5" customHeight="1">
      <c r="A11" s="214" t="s">
        <v>151</v>
      </c>
      <c r="B11" s="215"/>
      <c r="C11" s="215"/>
      <c r="D11" s="215"/>
      <c r="E11" s="215"/>
      <c r="F11" s="215"/>
      <c r="G11" s="216"/>
    </row>
    <row r="12" spans="1:7" ht="53.25" customHeight="1">
      <c r="A12" s="35" t="s">
        <v>96</v>
      </c>
      <c r="B12" s="68" t="s">
        <v>97</v>
      </c>
      <c r="C12" s="34">
        <v>88105.789</v>
      </c>
      <c r="D12" s="34">
        <v>92036.098</v>
      </c>
      <c r="E12" s="34">
        <v>98645.969</v>
      </c>
      <c r="F12" s="34">
        <v>106447.59</v>
      </c>
      <c r="G12" s="34">
        <v>114632.508</v>
      </c>
    </row>
    <row r="14" spans="3:7" ht="12.75">
      <c r="C14" s="156"/>
      <c r="D14" s="156"/>
      <c r="E14" s="156"/>
      <c r="F14" s="156"/>
      <c r="G14" s="156"/>
    </row>
    <row r="15" spans="3:7" ht="12.75">
      <c r="C15" s="157"/>
      <c r="D15" s="157"/>
      <c r="E15" s="157"/>
      <c r="F15" s="157"/>
      <c r="G15" s="157"/>
    </row>
  </sheetData>
  <sheetProtection/>
  <mergeCells count="18">
    <mergeCell ref="A11:G11"/>
    <mergeCell ref="A4:G4"/>
    <mergeCell ref="A8:A10"/>
    <mergeCell ref="B8:B10"/>
    <mergeCell ref="C8:G8"/>
    <mergeCell ref="C9:C10"/>
    <mergeCell ref="D9:D10"/>
    <mergeCell ref="E9:E10"/>
    <mergeCell ref="F9:F10"/>
    <mergeCell ref="G9:G10"/>
    <mergeCell ref="A1:A3"/>
    <mergeCell ref="B1:B3"/>
    <mergeCell ref="C1:G1"/>
    <mergeCell ref="C2:C3"/>
    <mergeCell ref="D2:D3"/>
    <mergeCell ref="E2:E3"/>
    <mergeCell ref="F2:F3"/>
    <mergeCell ref="G2:G3"/>
  </mergeCells>
  <printOptions horizontalCentered="1"/>
  <pageMargins left="0.2362204724409449" right="0.2362204724409449" top="1.1811023622047245" bottom="0.2755905511811024" header="0.2755905511811024" footer="0.1968503937007874"/>
  <pageSetup firstPageNumber="197" useFirstPageNumber="1" horizontalDpi="300" verticalDpi="300" orientation="landscape" paperSize="9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"/>
  <sheetViews>
    <sheetView zoomScale="70" zoomScaleNormal="70" zoomScaleSheetLayoutView="100" zoomScalePageLayoutView="0" workbookViewId="0" topLeftCell="A1">
      <selection activeCell="Z5" sqref="Z5"/>
    </sheetView>
  </sheetViews>
  <sheetFormatPr defaultColWidth="9.00390625" defaultRowHeight="12.75"/>
  <cols>
    <col min="1" max="1" width="17.625" style="0" customWidth="1"/>
    <col min="2" max="2" width="11.875" style="0" customWidth="1"/>
    <col min="3" max="3" width="7.375" style="0" customWidth="1"/>
    <col min="4" max="4" width="8.25390625" style="0" customWidth="1"/>
    <col min="5" max="6" width="7.875" style="0" customWidth="1"/>
    <col min="7" max="7" width="7.25390625" style="0" customWidth="1"/>
    <col min="8" max="8" width="8.25390625" style="0" customWidth="1"/>
    <col min="9" max="10" width="7.625" style="0" customWidth="1"/>
    <col min="11" max="11" width="7.25390625" style="0" customWidth="1"/>
    <col min="12" max="13" width="7.875" style="0" customWidth="1"/>
    <col min="14" max="14" width="8.00390625" style="0" customWidth="1"/>
    <col min="15" max="16" width="7.25390625" style="0" customWidth="1"/>
    <col min="17" max="17" width="7.625" style="0" customWidth="1"/>
    <col min="18" max="18" width="8.25390625" style="0" customWidth="1"/>
    <col min="19" max="19" width="7.75390625" style="0" customWidth="1"/>
    <col min="20" max="20" width="7.25390625" style="0" customWidth="1"/>
    <col min="21" max="22" width="6.25390625" style="0" customWidth="1"/>
    <col min="23" max="23" width="7.25390625" style="0" customWidth="1"/>
    <col min="24" max="26" width="6.25390625" style="0" customWidth="1"/>
  </cols>
  <sheetData>
    <row r="1" spans="1:22" s="139" customFormat="1" ht="64.5" customHeight="1">
      <c r="A1" s="221" t="s">
        <v>80</v>
      </c>
      <c r="B1" s="222" t="s">
        <v>106</v>
      </c>
      <c r="C1" s="223" t="s">
        <v>107</v>
      </c>
      <c r="D1" s="224"/>
      <c r="E1" s="224"/>
      <c r="F1" s="224"/>
      <c r="G1" s="225"/>
      <c r="H1" s="226" t="s">
        <v>108</v>
      </c>
      <c r="I1" s="226"/>
      <c r="J1" s="226"/>
      <c r="K1" s="226"/>
      <c r="L1" s="226"/>
      <c r="M1" s="226" t="s">
        <v>193</v>
      </c>
      <c r="N1" s="226"/>
      <c r="O1" s="226"/>
      <c r="P1" s="226"/>
      <c r="Q1" s="226"/>
      <c r="R1" s="226" t="s">
        <v>146</v>
      </c>
      <c r="S1" s="226"/>
      <c r="T1" s="226"/>
      <c r="U1" s="226"/>
      <c r="V1" s="226"/>
    </row>
    <row r="2" spans="1:22" s="139" customFormat="1" ht="31.5" customHeight="1">
      <c r="A2" s="221"/>
      <c r="B2" s="222"/>
      <c r="C2" s="140">
        <v>2016</v>
      </c>
      <c r="D2" s="140">
        <v>2017</v>
      </c>
      <c r="E2" s="217" t="s">
        <v>9</v>
      </c>
      <c r="F2" s="217"/>
      <c r="G2" s="217"/>
      <c r="H2" s="140">
        <v>2016</v>
      </c>
      <c r="I2" s="140">
        <v>2017</v>
      </c>
      <c r="J2" s="217" t="s">
        <v>9</v>
      </c>
      <c r="K2" s="217"/>
      <c r="L2" s="217"/>
      <c r="M2" s="140">
        <v>2016</v>
      </c>
      <c r="N2" s="140">
        <v>2017</v>
      </c>
      <c r="O2" s="217" t="s">
        <v>9</v>
      </c>
      <c r="P2" s="217"/>
      <c r="Q2" s="217"/>
      <c r="R2" s="140">
        <v>2016</v>
      </c>
      <c r="S2" s="140">
        <v>2017</v>
      </c>
      <c r="T2" s="217" t="s">
        <v>9</v>
      </c>
      <c r="U2" s="217"/>
      <c r="V2" s="217"/>
    </row>
    <row r="3" spans="1:22" s="139" customFormat="1" ht="31.5" customHeight="1">
      <c r="A3" s="221"/>
      <c r="B3" s="222"/>
      <c r="C3" s="140" t="s">
        <v>6</v>
      </c>
      <c r="D3" s="140" t="s">
        <v>7</v>
      </c>
      <c r="E3" s="140">
        <v>2018</v>
      </c>
      <c r="F3" s="140">
        <v>2019</v>
      </c>
      <c r="G3" s="140">
        <v>2020</v>
      </c>
      <c r="H3" s="140" t="s">
        <v>6</v>
      </c>
      <c r="I3" s="140" t="s">
        <v>7</v>
      </c>
      <c r="J3" s="140">
        <v>2018</v>
      </c>
      <c r="K3" s="140">
        <v>2019</v>
      </c>
      <c r="L3" s="140">
        <v>2020</v>
      </c>
      <c r="M3" s="140" t="s">
        <v>6</v>
      </c>
      <c r="N3" s="140" t="s">
        <v>7</v>
      </c>
      <c r="O3" s="140">
        <v>2018</v>
      </c>
      <c r="P3" s="140">
        <v>2019</v>
      </c>
      <c r="Q3" s="140">
        <v>2020</v>
      </c>
      <c r="R3" s="140" t="s">
        <v>6</v>
      </c>
      <c r="S3" s="140" t="s">
        <v>7</v>
      </c>
      <c r="T3" s="140">
        <v>2018</v>
      </c>
      <c r="U3" s="140">
        <v>2019</v>
      </c>
      <c r="V3" s="140">
        <v>2020</v>
      </c>
    </row>
    <row r="4" spans="1:22" s="139" customFormat="1" ht="62.25" customHeight="1">
      <c r="A4" s="218" t="s">
        <v>152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20"/>
    </row>
    <row r="5" spans="1:22" s="139" customFormat="1" ht="125.25" customHeight="1">
      <c r="A5" s="148" t="s">
        <v>195</v>
      </c>
      <c r="B5" s="141" t="s">
        <v>12</v>
      </c>
      <c r="C5" s="141">
        <f>SUM(H5+M5+R5)</f>
        <v>6100.1</v>
      </c>
      <c r="D5" s="141">
        <f>SUM(I5+N5+S5)</f>
        <v>5622.299999999999</v>
      </c>
      <c r="E5" s="142">
        <f>SUM(J5+O5+T5)</f>
        <v>5920.9</v>
      </c>
      <c r="F5" s="142">
        <f>SUM(K5+P5+U5)</f>
        <v>6146.200000000001</v>
      </c>
      <c r="G5" s="141">
        <f>SUM(L5+Q5+V5)</f>
        <v>6454.5</v>
      </c>
      <c r="H5" s="143">
        <v>3651</v>
      </c>
      <c r="I5" s="144">
        <v>3097.8</v>
      </c>
      <c r="J5" s="144">
        <v>3349.1</v>
      </c>
      <c r="K5" s="144">
        <v>3488.7</v>
      </c>
      <c r="L5" s="144">
        <v>3674.2</v>
      </c>
      <c r="M5" s="144">
        <v>2239.8</v>
      </c>
      <c r="N5" s="144">
        <v>2358.6</v>
      </c>
      <c r="O5" s="144">
        <v>2423.3</v>
      </c>
      <c r="P5" s="144">
        <v>2501.4</v>
      </c>
      <c r="Q5" s="144">
        <v>2615.3</v>
      </c>
      <c r="R5" s="145">
        <v>209.3</v>
      </c>
      <c r="S5" s="146">
        <v>165.9</v>
      </c>
      <c r="T5" s="145">
        <v>148.5</v>
      </c>
      <c r="U5" s="145">
        <v>156.1</v>
      </c>
      <c r="V5" s="146">
        <v>165</v>
      </c>
    </row>
    <row r="6" spans="1:22" s="150" customFormat="1" ht="32.25" customHeight="1">
      <c r="A6" s="149" t="s">
        <v>47</v>
      </c>
      <c r="B6" s="141"/>
      <c r="C6" s="145"/>
      <c r="D6" s="145"/>
      <c r="E6" s="145"/>
      <c r="F6" s="145"/>
      <c r="G6" s="145"/>
      <c r="H6" s="145"/>
      <c r="I6" s="145"/>
      <c r="J6" s="147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</row>
    <row r="7" spans="1:22" s="139" customFormat="1" ht="89.25" customHeight="1">
      <c r="A7" s="151" t="s">
        <v>194</v>
      </c>
      <c r="B7" s="141" t="s">
        <v>12</v>
      </c>
      <c r="C7" s="141">
        <f>SUM(H7+M7+R7)</f>
        <v>1568.3</v>
      </c>
      <c r="D7" s="142">
        <f>SUM(I7+N7+S7)</f>
        <v>1018</v>
      </c>
      <c r="E7" s="142">
        <f>SUM(J7+O7+T7)</f>
        <v>1146.2</v>
      </c>
      <c r="F7" s="142">
        <f>SUM(K7+P7+U7)</f>
        <v>1230.1</v>
      </c>
      <c r="G7" s="141">
        <f>SUM(L7+Q7+V7)</f>
        <v>1307.5</v>
      </c>
      <c r="H7" s="145">
        <v>1537.6</v>
      </c>
      <c r="I7" s="146">
        <v>976</v>
      </c>
      <c r="J7" s="146">
        <v>1102.2</v>
      </c>
      <c r="K7" s="145">
        <v>1174.1</v>
      </c>
      <c r="L7" s="145">
        <v>1245.5</v>
      </c>
      <c r="M7" s="145">
        <v>30.7</v>
      </c>
      <c r="N7" s="146">
        <v>42</v>
      </c>
      <c r="O7" s="146">
        <v>44</v>
      </c>
      <c r="P7" s="146">
        <v>56</v>
      </c>
      <c r="Q7" s="146">
        <v>62</v>
      </c>
      <c r="R7" s="145"/>
      <c r="S7" s="145"/>
      <c r="T7" s="145"/>
      <c r="U7" s="145"/>
      <c r="V7" s="145"/>
    </row>
  </sheetData>
  <sheetProtection/>
  <mergeCells count="11">
    <mergeCell ref="J2:L2"/>
    <mergeCell ref="O2:Q2"/>
    <mergeCell ref="T2:V2"/>
    <mergeCell ref="A4:V4"/>
    <mergeCell ref="A1:A3"/>
    <mergeCell ref="B1:B3"/>
    <mergeCell ref="C1:G1"/>
    <mergeCell ref="H1:L1"/>
    <mergeCell ref="M1:Q1"/>
    <mergeCell ref="R1:V1"/>
    <mergeCell ref="E2:G2"/>
  </mergeCells>
  <printOptions/>
  <pageMargins left="0.3937007874015748" right="0.1968503937007874" top="1.3779527559055118" bottom="0.2755905511811024" header="0" footer="0"/>
  <pageSetup firstPageNumber="198" useFirstPageNumber="1" fitToHeight="1" fitToWidth="1" horizontalDpi="600" verticalDpi="600" orientation="landscape" paperSize="9" scale="8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2017-11-10T14:34:35Z</cp:lastPrinted>
  <dcterms:created xsi:type="dcterms:W3CDTF">2015-08-05T09:55:36Z</dcterms:created>
  <dcterms:modified xsi:type="dcterms:W3CDTF">2017-11-13T13:06:37Z</dcterms:modified>
  <cp:category/>
  <cp:version/>
  <cp:contentType/>
  <cp:contentStatus/>
</cp:coreProperties>
</file>