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9320" windowHeight="7695" activeTab="8"/>
  </bookViews>
  <sheets>
    <sheet name="цифры 2018-2022 гг" sheetId="1" r:id="rId1"/>
    <sheet name="промышленность" sheetId="2" r:id="rId2"/>
    <sheet name="строительство" sheetId="3" r:id="rId3"/>
    <sheet name="насел., зар.пл." sheetId="4" r:id="rId4"/>
    <sheet name="МП" sheetId="5" r:id="rId5"/>
    <sheet name="выручка" sheetId="6" r:id="rId6"/>
    <sheet name="Прибыль" sheetId="7" r:id="rId7"/>
    <sheet name="ОФ" sheetId="8" r:id="rId8"/>
    <sheet name="сельс.хоз-во" sheetId="9" r:id="rId9"/>
  </sheets>
  <definedNames>
    <definedName name="_xlnm.Print_Titles" localSheetId="0">'цифры 2018-2022 гг'!$4:$5</definedName>
  </definedNames>
  <calcPr fullCalcOnLoad="1"/>
</workbook>
</file>

<file path=xl/comments9.xml><?xml version="1.0" encoding="utf-8"?>
<comments xmlns="http://schemas.openxmlformats.org/spreadsheetml/2006/main">
  <authors>
    <author>User</author>
  </authors>
  <commentList>
    <comment ref="C5" authorId="0">
      <text>
        <r>
          <rPr>
            <b/>
            <sz val="8"/>
            <rFont val="Tahoma"/>
            <family val="2"/>
          </rPr>
          <t>уточнение итогов 2017 года на основании сельхозпереписи 2016 года</t>
        </r>
      </text>
    </comment>
  </commentList>
</comments>
</file>

<file path=xl/sharedStrings.xml><?xml version="1.0" encoding="utf-8"?>
<sst xmlns="http://schemas.openxmlformats.org/spreadsheetml/2006/main" count="423" uniqueCount="171">
  <si>
    <t>Параметры прогноза в сопоставлении с ранее представленными параметрами</t>
  </si>
  <si>
    <t>Показатели  социально-экономического развития</t>
  </si>
  <si>
    <t>Ед.                 изм.</t>
  </si>
  <si>
    <t>Отклонение</t>
  </si>
  <si>
    <t>отчет</t>
  </si>
  <si>
    <t>оценка</t>
  </si>
  <si>
    <t>прогноз</t>
  </si>
  <si>
    <t>Промышленное производство</t>
  </si>
  <si>
    <t>Объем промышленного производства</t>
  </si>
  <si>
    <t>млн. руб.</t>
  </si>
  <si>
    <t>индекс физического объема</t>
  </si>
  <si>
    <t>%</t>
  </si>
  <si>
    <t>Строительство и инвестиции</t>
  </si>
  <si>
    <t>Объем строительных работ</t>
  </si>
  <si>
    <t>Инвестиции в основной капитал за счет всех источников финансирования</t>
  </si>
  <si>
    <t>Население и занятость</t>
  </si>
  <si>
    <t>Численность населения на конец года</t>
  </si>
  <si>
    <t>тыс. чел.</t>
  </si>
  <si>
    <t>Численность занятых в экономике города в среднегодовом исчислении</t>
  </si>
  <si>
    <t>Оплата труда</t>
  </si>
  <si>
    <t>Фонд оплаты труда</t>
  </si>
  <si>
    <t>темп роста</t>
  </si>
  <si>
    <t>Среднемесячная номинальная заработная плата 1 работника</t>
  </si>
  <si>
    <t>руб.</t>
  </si>
  <si>
    <t>Малое предпринимательство</t>
  </si>
  <si>
    <t>Численность занятых в «малых» предприятиях в среднегодовом исчислении</t>
  </si>
  <si>
    <t>доля «малых» предприятий в занятости на предприятиях и организациях города</t>
  </si>
  <si>
    <t>Выручка «малых» предприятий от реализации товаров, продукции, работ, услуг</t>
  </si>
  <si>
    <t>доля «малых» предприятий в выручке предприятий и организаций города</t>
  </si>
  <si>
    <t>Выручка  от реализации товаров, продукции, работ, услуг</t>
  </si>
  <si>
    <t>Выручка предприятий и организаций от реализации товаров, продукции, работ, услуг</t>
  </si>
  <si>
    <t>Прибыль до налогообложения прибыльных  организаций</t>
  </si>
  <si>
    <t>Прибыль прибыльных организаций</t>
  </si>
  <si>
    <t>ед.</t>
  </si>
  <si>
    <t>Показатель</t>
  </si>
  <si>
    <t>Ед. измер.</t>
  </si>
  <si>
    <t xml:space="preserve">Всего по полному кругу организаций </t>
  </si>
  <si>
    <t>тыс.руб.</t>
  </si>
  <si>
    <t>в том числе</t>
  </si>
  <si>
    <t>добывающие производства</t>
  </si>
  <si>
    <t>обрабатывающие производства</t>
  </si>
  <si>
    <t xml:space="preserve">Объем отгруженной продукции по малым предприятиям                    </t>
  </si>
  <si>
    <t>Индекс промышленного производства по малым  предприятиям</t>
  </si>
  <si>
    <t>Финансовые результаты организаций в промышленности</t>
  </si>
  <si>
    <t>Выручка от реализации товаров, продукции, работ, услуг (без НДС, акцизов и прочих аналогичных платежей)</t>
  </si>
  <si>
    <t>Объем прибыли по прибыльным организациям</t>
  </si>
  <si>
    <t>Объем убытков по убыточным организациям</t>
  </si>
  <si>
    <t xml:space="preserve">В том числе по крупным и средним организациям  </t>
  </si>
  <si>
    <t>Количество крупных и средних предприятий</t>
  </si>
  <si>
    <t>-</t>
  </si>
  <si>
    <t>Объем работ, выполненных по виду деятельности     "Строительство"</t>
  </si>
  <si>
    <t>из них: выполненных на территории других МО</t>
  </si>
  <si>
    <t>Из них за счет:</t>
  </si>
  <si>
    <t xml:space="preserve">  Собственных средств организаций</t>
  </si>
  <si>
    <t xml:space="preserve">  Бюджетных средств</t>
  </si>
  <si>
    <t xml:space="preserve">  Прочих источников</t>
  </si>
  <si>
    <t>Развитие отраслей социальной сферы</t>
  </si>
  <si>
    <t>Ввод в эксплуатацию жилья, всего</t>
  </si>
  <si>
    <t>кв.м.</t>
  </si>
  <si>
    <t>Из них за счет средств индивидуальных застройщиков</t>
  </si>
  <si>
    <t>Ввод в эксплуатацию дошкольных образовательных учреждений</t>
  </si>
  <si>
    <t>мест</t>
  </si>
  <si>
    <t>Ввод в эксплуатацию учреждений общего образования</t>
  </si>
  <si>
    <t>Ввод в эксплуатацию больниц</t>
  </si>
  <si>
    <t>Ввод в эксплуатацию амбулаторно-поликлинических учреждений</t>
  </si>
  <si>
    <t>в т.ч. дети до 18 лет</t>
  </si>
  <si>
    <t>Численность работающих в среднегодовом исчислении</t>
  </si>
  <si>
    <t>Среднемесячная заработная плата на 1 работника</t>
  </si>
  <si>
    <t>рублей</t>
  </si>
  <si>
    <t>Показатели</t>
  </si>
  <si>
    <t>Ед.     изм.</t>
  </si>
  <si>
    <t>Среднесписочная численность работников (без внешних совместителей)</t>
  </si>
  <si>
    <t>чел.</t>
  </si>
  <si>
    <t xml:space="preserve">тыс. руб. </t>
  </si>
  <si>
    <t>в том числе по видам экономической деятельности (ОКВЭД):</t>
  </si>
  <si>
    <t>из них:</t>
  </si>
  <si>
    <t>строительство (F)</t>
  </si>
  <si>
    <t>прочие виды деятельности</t>
  </si>
  <si>
    <t>Выручка от продажи товаров, работ и услуг (без НДС)</t>
  </si>
  <si>
    <t xml:space="preserve">                                            к предыдущему году в сопоставимых ценах</t>
  </si>
  <si>
    <t>Инвестиции в основной капитал</t>
  </si>
  <si>
    <t xml:space="preserve">                                        к предыдущему году в сопоставимых ценах</t>
  </si>
  <si>
    <t xml:space="preserve"> Фонд начисленной заработной платы</t>
  </si>
  <si>
    <t>тыс. руб.</t>
  </si>
  <si>
    <t>Выручка от реализации товаров, продукции, работ, услуг (без НДС, акцизов и прочих аналогичных платежей) - всего</t>
  </si>
  <si>
    <t>млн.руб.</t>
  </si>
  <si>
    <t>№ п/п</t>
  </si>
  <si>
    <t>Единица измерения</t>
  </si>
  <si>
    <t>Всего (по полному кругу)</t>
  </si>
  <si>
    <t>крупные и средние</t>
  </si>
  <si>
    <t>Основные фонды</t>
  </si>
  <si>
    <t>Инвестиции</t>
  </si>
  <si>
    <t>Строительство</t>
  </si>
  <si>
    <t>Валовая продукция сельского хозяйства во всех категориях хозяйств</t>
  </si>
  <si>
    <t>Валовая продукция сельского хозяйства в сельскохозяйственных  организациях</t>
  </si>
  <si>
    <t>Численность работающих в сельскохозяйственных организациях</t>
  </si>
  <si>
    <t>Фонд оплаты труда в в сельскохозяйственных организациях</t>
  </si>
  <si>
    <t xml:space="preserve">Среднемесячная заработная плата на 1 работника </t>
  </si>
  <si>
    <t xml:space="preserve">Финансовые результаты деятельности сельскохозяйственных организаций </t>
  </si>
  <si>
    <t>Себестоимость проданных товаров, продукции (работ, услуг)</t>
  </si>
  <si>
    <t xml:space="preserve">Прибыль (убыток) от продаж </t>
  </si>
  <si>
    <t>Прибыль (убыток) от прочих операций (прочие доходы и расходы)</t>
  </si>
  <si>
    <t xml:space="preserve">в том числе субсидии из бюджетов </t>
  </si>
  <si>
    <t>Прибыль (убыток) до налогообложения</t>
  </si>
  <si>
    <t xml:space="preserve">в том числе по организациям перешедшим на уплату единого сельскохозяйственного налога </t>
  </si>
  <si>
    <t>Количество прибыльных организаций</t>
  </si>
  <si>
    <t>Количество убыточных организаций</t>
  </si>
  <si>
    <t>прочие организации</t>
  </si>
  <si>
    <t>1.</t>
  </si>
  <si>
    <t>х</t>
  </si>
  <si>
    <t>2.</t>
  </si>
  <si>
    <t>3.</t>
  </si>
  <si>
    <t>Выручка</t>
  </si>
  <si>
    <t>Финансовые результаты предприятий и организаций - прибыль прибыльных организаций</t>
  </si>
  <si>
    <t>Сельскохозяйственное производство</t>
  </si>
  <si>
    <t>*  расчетные цифры по объемам производства сельскохозяйственной продукции в личных подсобных хозяйствах граждан, на садово-огороднических участках</t>
  </si>
  <si>
    <t>2018 г.</t>
  </si>
  <si>
    <t>отчет к оценке</t>
  </si>
  <si>
    <t>2019 г.</t>
  </si>
  <si>
    <t>оценка к прогнозу уточненному</t>
  </si>
  <si>
    <t>2020 г. прогноз</t>
  </si>
  <si>
    <t>Объем отгруженной продукции (без НДС и акцизов) всего по разделам B, С, D, E  ОКВЭД</t>
  </si>
  <si>
    <t xml:space="preserve">Индекс промышленного производства                                                                                           всего по раделам B, С, D, E  ОКВЭД </t>
  </si>
  <si>
    <t>Фонд оплаты труда, всего</t>
  </si>
  <si>
    <t>2020 г.  прогноз</t>
  </si>
  <si>
    <t>2020 г.</t>
  </si>
  <si>
    <t>сельское, лесное хозяйство, охота, рыболовство и рыбоводство  (А)</t>
  </si>
  <si>
    <t>промышленное производство (разделы B,С, D, E)</t>
  </si>
  <si>
    <t>добыча полезных ископаемых (B)</t>
  </si>
  <si>
    <t>обрабатывающие производства (C)</t>
  </si>
  <si>
    <t>водоснабжение; водоотведение, организация сбора и утилизации отходов, деятельность по ликвидации загрязнений (E)</t>
  </si>
  <si>
    <t>торговля оптовая и розничная, ремонт автотранспортных средств (G)</t>
  </si>
  <si>
    <t>транспортировка и хранение (Н)</t>
  </si>
  <si>
    <t>деятельность по операциям с недвижимым имуществом (L)</t>
  </si>
  <si>
    <t>обеспечение электрической энергией, газом и паром;   кондиционирование воздуха (D)</t>
  </si>
  <si>
    <t>прогноз уточненный   к прогнозу</t>
  </si>
  <si>
    <t>2021 г.</t>
  </si>
  <si>
    <t>2021 г. прогноз</t>
  </si>
  <si>
    <t>обеспечение электрической энергией, газом и паром</t>
  </si>
  <si>
    <t>водоснабжение; водоотведение, организация сбора и утилизации отходов</t>
  </si>
  <si>
    <t>Всего по полному кругу организаций</t>
  </si>
  <si>
    <t>справочно: средства населения на ИЖС</t>
  </si>
  <si>
    <t>2020 г.  прогноз</t>
  </si>
  <si>
    <t xml:space="preserve"> Количество малых предприятий на конец года (по данным из единого реестра СМСП)</t>
  </si>
  <si>
    <r>
      <rPr>
        <b/>
        <sz val="12"/>
        <rFont val="Arial Cyr"/>
        <family val="2"/>
      </rPr>
      <t xml:space="preserve">Всего 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0"/>
      </rPr>
      <t>(крупные и средние коммерческие и некоммерческие организации)</t>
    </r>
  </si>
  <si>
    <r>
      <rPr>
        <b/>
        <sz val="12"/>
        <rFont val="Arial Cyr"/>
        <family val="2"/>
      </rPr>
      <t xml:space="preserve">коммерческие </t>
    </r>
    <r>
      <rPr>
        <sz val="10"/>
        <rFont val="Arial Cyr"/>
        <family val="0"/>
      </rPr>
      <t xml:space="preserve">(отчет - по форме статистического наблюдения  N 11 "Сведения о наличии и движении основных фондов (средств) и других нефинансовых активов" </t>
    </r>
  </si>
  <si>
    <r>
      <rPr>
        <b/>
        <sz val="12"/>
        <rFont val="Arial Cyr"/>
        <family val="2"/>
      </rPr>
      <t xml:space="preserve">некоммерческие </t>
    </r>
    <r>
      <rPr>
        <sz val="10"/>
        <rFont val="Arial Cyr"/>
        <family val="0"/>
      </rPr>
      <t>(отчет - по форме статистического наблюдения  N 11 (краткая) "Сведения о наличии и движении основных фондов (средств) некоммерческих организаций")</t>
    </r>
  </si>
  <si>
    <t>Увеличение полной учетной стоимости основных фондов за отчетный год за счет создания новой стоимости (ввода в действие новых объектов основных фондов,  модернизации, реконструкции)</t>
  </si>
  <si>
    <t>Справочно:</t>
  </si>
  <si>
    <t>Количество  организаций - всего</t>
  </si>
  <si>
    <t xml:space="preserve">Удельный вес прибыльных организаций </t>
  </si>
  <si>
    <t>Рентабельность</t>
  </si>
  <si>
    <t xml:space="preserve"> Основные средства по крупным и средним коммерческим организациям</t>
  </si>
  <si>
    <t>Основные средства по остаточной стоимости коммерческих организаций, на конец года</t>
  </si>
  <si>
    <t>2022 г.</t>
  </si>
  <si>
    <t>2018 г. отчет</t>
  </si>
  <si>
    <t>2019 г. оценка</t>
  </si>
  <si>
    <t>2022 г. прогноз</t>
  </si>
  <si>
    <t>2018 г.    отчет</t>
  </si>
  <si>
    <t>2021 г.          прогноз</t>
  </si>
  <si>
    <t>2022 г.      прогноз</t>
  </si>
  <si>
    <t>2018 г.                                  отчет</t>
  </si>
  <si>
    <t>2021 г.    прогноз</t>
  </si>
  <si>
    <t>2022 г.     прогноз</t>
  </si>
  <si>
    <t>Форма 1-В "Выручка" (Сводный расчет выручки от реализации)</t>
  </si>
  <si>
    <t>малые и организации</t>
  </si>
  <si>
    <r>
      <t xml:space="preserve">Прибыль до налогообложения прибыльных организаций </t>
    </r>
    <r>
      <rPr>
        <sz val="12"/>
        <rFont val="Times New Roman"/>
        <family val="1"/>
      </rPr>
      <t>по данным бухгалтерского учета</t>
    </r>
  </si>
  <si>
    <r>
      <t xml:space="preserve">Наличие основных фондов на конец года по </t>
    </r>
    <r>
      <rPr>
        <b/>
        <sz val="12"/>
        <rFont val="Times New Roman"/>
        <family val="1"/>
      </rPr>
      <t>остаточной</t>
    </r>
    <r>
      <rPr>
        <sz val="12"/>
        <rFont val="Times New Roman"/>
        <family val="1"/>
      </rPr>
      <t xml:space="preserve"> балансовой стоимости </t>
    </r>
  </si>
  <si>
    <r>
      <t xml:space="preserve">Наличие основных фондов на конец года по </t>
    </r>
    <r>
      <rPr>
        <b/>
        <sz val="12"/>
        <rFont val="Times New Roman"/>
        <family val="1"/>
      </rPr>
      <t>полной</t>
    </r>
    <r>
      <rPr>
        <sz val="12"/>
        <rFont val="Times New Roman"/>
        <family val="1"/>
      </rPr>
      <t xml:space="preserve"> учетной стоимости </t>
    </r>
  </si>
  <si>
    <t>2022  г. прогноз</t>
  </si>
  <si>
    <r>
      <t xml:space="preserve">прогноз </t>
    </r>
    <r>
      <rPr>
        <sz val="7"/>
        <rFont val="Times New Roman"/>
        <family val="1"/>
      </rPr>
      <t>уточненный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</si>
</sst>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"/>
    <numFmt numFmtId="167" formatCode="#,##0.000"/>
    <numFmt numFmtId="168" formatCode="#,##0.0000"/>
    <numFmt numFmtId="169" formatCode="_-* #,##0.000_р_._-;\-* #,##0.000_р_._-;_-* &quot;-&quot;??_р_._-;_-@_-"/>
    <numFmt numFmtId="170" formatCode="0.000"/>
    <numFmt numFmtId="171" formatCode="0.0000000"/>
    <numFmt numFmtId="172" formatCode="0.000000"/>
    <numFmt numFmtId="173" formatCode="0.00000"/>
    <numFmt numFmtId="174" formatCode="0.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b/>
      <sz val="11"/>
      <color indexed="62"/>
      <name val="Arial Cyr"/>
      <family val="2"/>
    </font>
    <font>
      <b/>
      <sz val="10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1"/>
      <color indexed="61"/>
      <name val="Arial Cyr"/>
      <family val="2"/>
    </font>
    <font>
      <sz val="9"/>
      <name val="Arial Cyr"/>
      <family val="2"/>
    </font>
    <font>
      <i/>
      <sz val="11"/>
      <name val="Times New Roman"/>
      <family val="1"/>
    </font>
    <font>
      <i/>
      <sz val="10"/>
      <name val="Arial Cyr"/>
      <family val="2"/>
    </font>
    <font>
      <i/>
      <sz val="10"/>
      <color indexed="24"/>
      <name val="Arial Cyr"/>
      <family val="0"/>
    </font>
    <font>
      <sz val="9"/>
      <color indexed="24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u val="single"/>
      <sz val="10"/>
      <color indexed="12"/>
      <name val="Arial Cyr"/>
      <family val="0"/>
    </font>
    <font>
      <i/>
      <sz val="8"/>
      <name val="Arial"/>
      <family val="2"/>
    </font>
    <font>
      <i/>
      <sz val="9"/>
      <name val="Arial Cyr"/>
      <family val="2"/>
    </font>
    <font>
      <b/>
      <i/>
      <sz val="11"/>
      <color indexed="18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8"/>
      <name val="Tahoma"/>
      <family val="2"/>
    </font>
    <font>
      <sz val="11"/>
      <name val="Arial Cyr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12"/>
      <name val="Arial Cyr"/>
      <family val="0"/>
    </font>
    <font>
      <b/>
      <sz val="12"/>
      <color indexed="14"/>
      <name val="Arial Cyr"/>
      <family val="0"/>
    </font>
    <font>
      <sz val="8"/>
      <color indexed="10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12"/>
      <color indexed="30"/>
      <name val="Arial"/>
      <family val="2"/>
    </font>
    <font>
      <b/>
      <sz val="12"/>
      <color indexed="12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17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17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9" fillId="0" borderId="0">
      <alignment/>
      <protection/>
    </xf>
    <xf numFmtId="0" fontId="16" fillId="0" borderId="0" applyProtection="0">
      <alignment/>
    </xf>
    <xf numFmtId="0" fontId="17" fillId="0" borderId="0" applyProtection="0">
      <alignment/>
    </xf>
    <xf numFmtId="0" fontId="9" fillId="0" borderId="0" applyNumberFormat="0" applyBorder="0" applyAlignment="0" applyProtection="0"/>
    <xf numFmtId="0" fontId="9" fillId="0" borderId="0" applyNumberFormat="0" applyBorder="0" applyProtection="0">
      <alignment horizontal="center"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3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0" fontId="3" fillId="10" borderId="13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top" wrapText="1"/>
    </xf>
    <xf numFmtId="3" fontId="4" fillId="10" borderId="1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3" fontId="0" fillId="0" borderId="14" xfId="64" applyNumberFormat="1" applyFont="1" applyFill="1" applyBorder="1" applyAlignment="1">
      <alignment vertical="center"/>
      <protection/>
    </xf>
    <xf numFmtId="0" fontId="10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wrapText="1"/>
    </xf>
    <xf numFmtId="166" fontId="0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Border="1" applyAlignment="1">
      <alignment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14" xfId="0" applyNumberFormat="1" applyFont="1" applyBorder="1" applyAlignment="1">
      <alignment vertical="center"/>
    </xf>
    <xf numFmtId="167" fontId="0" fillId="0" borderId="14" xfId="0" applyNumberFormat="1" applyFont="1" applyFill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0" fillId="0" borderId="14" xfId="64" applyNumberFormat="1" applyFont="1" applyFill="1" applyBorder="1" applyAlignment="1">
      <alignment horizontal="right" vertical="center"/>
      <protection/>
    </xf>
    <xf numFmtId="3" fontId="0" fillId="0" borderId="14" xfId="0" applyNumberFormat="1" applyFont="1" applyFill="1" applyBorder="1" applyAlignment="1">
      <alignment horizontal="left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top" wrapText="1" indent="1"/>
    </xf>
    <xf numFmtId="3" fontId="19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top" wrapText="1" indent="1"/>
    </xf>
    <xf numFmtId="0" fontId="0" fillId="0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1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 indent="1"/>
    </xf>
    <xf numFmtId="0" fontId="3" fillId="1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10" borderId="19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top" wrapText="1"/>
    </xf>
    <xf numFmtId="0" fontId="4" fillId="10" borderId="20" xfId="0" applyFont="1" applyFill="1" applyBorder="1" applyAlignment="1">
      <alignment horizontal="center" vertical="top" wrapText="1"/>
    </xf>
    <xf numFmtId="0" fontId="4" fillId="10" borderId="21" xfId="0" applyFont="1" applyFill="1" applyBorder="1" applyAlignment="1">
      <alignment horizontal="center" vertical="top" wrapText="1"/>
    </xf>
    <xf numFmtId="3" fontId="4" fillId="0" borderId="13" xfId="0" applyNumberFormat="1" applyFont="1" applyBorder="1" applyAlignment="1">
      <alignment vertical="center"/>
    </xf>
    <xf numFmtId="0" fontId="23" fillId="0" borderId="14" xfId="0" applyFont="1" applyBorder="1" applyAlignment="1">
      <alignment horizontal="left" wrapText="1"/>
    </xf>
    <xf numFmtId="49" fontId="20" fillId="0" borderId="14" xfId="0" applyNumberFormat="1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top" wrapText="1" indent="4"/>
    </xf>
    <xf numFmtId="3" fontId="19" fillId="0" borderId="14" xfId="0" applyNumberFormat="1" applyFont="1" applyFill="1" applyBorder="1" applyAlignment="1">
      <alignment horizontal="right" vertical="center" wrapText="1"/>
    </xf>
    <xf numFmtId="3" fontId="54" fillId="0" borderId="0" xfId="0" applyNumberFormat="1" applyFont="1" applyFill="1" applyBorder="1" applyAlignment="1">
      <alignment vertical="center"/>
    </xf>
    <xf numFmtId="3" fontId="55" fillId="0" borderId="0" xfId="0" applyNumberFormat="1" applyFont="1" applyFill="1" applyBorder="1" applyAlignment="1">
      <alignment vertical="center"/>
    </xf>
    <xf numFmtId="3" fontId="56" fillId="0" borderId="0" xfId="0" applyNumberFormat="1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left" vertical="center" wrapText="1"/>
    </xf>
    <xf numFmtId="3" fontId="4" fillId="2" borderId="23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165" fontId="4" fillId="2" borderId="23" xfId="0" applyNumberFormat="1" applyFont="1" applyFill="1" applyBorder="1" applyAlignment="1">
      <alignment horizontal="right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0" fontId="4" fillId="10" borderId="13" xfId="0" applyFont="1" applyFill="1" applyBorder="1" applyAlignment="1">
      <alignment horizontal="center" vertical="top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2" borderId="24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0" fontId="4" fillId="1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167" fontId="0" fillId="0" borderId="0" xfId="64" applyNumberFormat="1" applyFont="1" applyFill="1" applyBorder="1" applyAlignment="1">
      <alignment vertical="center"/>
      <protection/>
    </xf>
    <xf numFmtId="3" fontId="0" fillId="0" borderId="0" xfId="64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3" fontId="31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vertical="center" wrapText="1"/>
    </xf>
    <xf numFmtId="0" fontId="13" fillId="0" borderId="14" xfId="64" applyNumberFormat="1" applyFont="1" applyBorder="1" applyAlignment="1">
      <alignment vertical="center"/>
      <protection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3" fontId="24" fillId="0" borderId="14" xfId="0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0" fontId="57" fillId="10" borderId="13" xfId="0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vertical="top"/>
    </xf>
    <xf numFmtId="0" fontId="8" fillId="4" borderId="14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top" wrapText="1"/>
    </xf>
    <xf numFmtId="0" fontId="4" fillId="10" borderId="28" xfId="0" applyFont="1" applyFill="1" applyBorder="1" applyAlignment="1">
      <alignment horizontal="center" vertical="top" wrapText="1"/>
    </xf>
    <xf numFmtId="3" fontId="4" fillId="0" borderId="11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29" xfId="0" applyNumberFormat="1" applyFont="1" applyBorder="1" applyAlignment="1">
      <alignment vertical="center"/>
    </xf>
    <xf numFmtId="166" fontId="4" fillId="0" borderId="11" xfId="0" applyNumberFormat="1" applyFont="1" applyBorder="1" applyAlignment="1">
      <alignment vertical="center"/>
    </xf>
    <xf numFmtId="166" fontId="4" fillId="0" borderId="29" xfId="0" applyNumberFormat="1" applyFont="1" applyBorder="1" applyAlignment="1">
      <alignment vertical="center"/>
    </xf>
    <xf numFmtId="3" fontId="4" fillId="10" borderId="11" xfId="0" applyNumberFormat="1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horizontal="center" vertical="top" wrapText="1"/>
    </xf>
    <xf numFmtId="0" fontId="4" fillId="10" borderId="29" xfId="0" applyFont="1" applyFill="1" applyBorder="1" applyAlignment="1">
      <alignment horizontal="center" vertical="top" wrapText="1"/>
    </xf>
    <xf numFmtId="3" fontId="4" fillId="0" borderId="18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64" fontId="4" fillId="0" borderId="30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167" fontId="4" fillId="0" borderId="13" xfId="0" applyNumberFormat="1" applyFont="1" applyBorder="1" applyAlignment="1">
      <alignment vertical="center"/>
    </xf>
    <xf numFmtId="167" fontId="4" fillId="0" borderId="11" xfId="0" applyNumberFormat="1" applyFont="1" applyBorder="1" applyAlignment="1">
      <alignment vertical="center"/>
    </xf>
    <xf numFmtId="0" fontId="8" fillId="0" borderId="14" xfId="0" applyFont="1" applyBorder="1" applyAlignment="1">
      <alignment wrapText="1"/>
    </xf>
    <xf numFmtId="0" fontId="32" fillId="0" borderId="14" xfId="0" applyFont="1" applyBorder="1" applyAlignment="1">
      <alignment horizontal="center" wrapText="1"/>
    </xf>
    <xf numFmtId="3" fontId="58" fillId="0" borderId="14" xfId="64" applyNumberFormat="1" applyFont="1" applyFill="1" applyBorder="1" applyAlignment="1">
      <alignment vertical="center"/>
      <protection/>
    </xf>
    <xf numFmtId="3" fontId="59" fillId="0" borderId="14" xfId="64" applyNumberFormat="1" applyFont="1" applyFill="1" applyBorder="1" applyAlignment="1">
      <alignment vertical="center"/>
      <protection/>
    </xf>
    <xf numFmtId="166" fontId="59" fillId="0" borderId="14" xfId="0" applyNumberFormat="1" applyFont="1" applyFill="1" applyBorder="1" applyAlignment="1">
      <alignment horizontal="right" vertical="center" wrapText="1"/>
    </xf>
    <xf numFmtId="166" fontId="60" fillId="0" borderId="14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wrapText="1"/>
    </xf>
    <xf numFmtId="0" fontId="11" fillId="0" borderId="14" xfId="0" applyFont="1" applyFill="1" applyBorder="1" applyAlignment="1">
      <alignment wrapText="1"/>
    </xf>
    <xf numFmtId="3" fontId="59" fillId="0" borderId="14" xfId="64" applyNumberFormat="1" applyFont="1" applyFill="1" applyBorder="1" applyAlignment="1">
      <alignment vertical="center"/>
      <protection/>
    </xf>
    <xf numFmtId="0" fontId="32" fillId="0" borderId="14" xfId="0" applyFont="1" applyFill="1" applyBorder="1" applyAlignment="1">
      <alignment horizontal="center" wrapText="1"/>
    </xf>
    <xf numFmtId="3" fontId="58" fillId="0" borderId="14" xfId="64" applyNumberFormat="1" applyFont="1" applyFill="1" applyBorder="1" applyAlignment="1">
      <alignment vertical="center"/>
      <protection/>
    </xf>
    <xf numFmtId="0" fontId="23" fillId="0" borderId="14" xfId="0" applyFont="1" applyFill="1" applyBorder="1" applyAlignment="1">
      <alignment horizontal="left" wrapText="1"/>
    </xf>
    <xf numFmtId="3" fontId="59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wrapText="1"/>
    </xf>
    <xf numFmtId="3" fontId="59" fillId="0" borderId="14" xfId="0" applyNumberFormat="1" applyFont="1" applyFill="1" applyBorder="1" applyAlignment="1">
      <alignment horizontal="center" vertical="center" wrapText="1"/>
    </xf>
    <xf numFmtId="166" fontId="59" fillId="0" borderId="14" xfId="64" applyNumberFormat="1" applyFont="1" applyFill="1" applyBorder="1" applyAlignment="1">
      <alignment vertical="center"/>
      <protection/>
    </xf>
    <xf numFmtId="3" fontId="0" fillId="0" borderId="31" xfId="0" applyNumberFormat="1" applyFont="1" applyBorder="1" applyAlignment="1">
      <alignment vertical="center" wrapText="1"/>
    </xf>
    <xf numFmtId="3" fontId="13" fillId="0" borderId="31" xfId="0" applyNumberFormat="1" applyFont="1" applyBorder="1" applyAlignment="1">
      <alignment horizontal="center" vertical="center" wrapText="1"/>
    </xf>
    <xf numFmtId="3" fontId="0" fillId="0" borderId="31" xfId="64" applyNumberFormat="1" applyFont="1" applyBorder="1" applyAlignment="1">
      <alignment vertical="center"/>
      <protection/>
    </xf>
    <xf numFmtId="166" fontId="0" fillId="0" borderId="31" xfId="64" applyNumberFormat="1" applyFont="1" applyBorder="1" applyAlignment="1">
      <alignment vertical="center"/>
      <protection/>
    </xf>
    <xf numFmtId="3" fontId="0" fillId="0" borderId="31" xfId="0" applyNumberFormat="1" applyFont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3" fontId="34" fillId="0" borderId="14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/>
    </xf>
    <xf numFmtId="0" fontId="35" fillId="4" borderId="31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0" fillId="0" borderId="0" xfId="64" applyNumberFormat="1" applyFont="1" applyBorder="1" applyAlignment="1">
      <alignment vertical="center"/>
      <protection/>
    </xf>
    <xf numFmtId="0" fontId="0" fillId="0" borderId="0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165" fontId="4" fillId="0" borderId="23" xfId="0" applyNumberFormat="1" applyFont="1" applyBorder="1" applyAlignment="1">
      <alignment horizontal="right" vertical="center" wrapText="1"/>
    </xf>
    <xf numFmtId="165" fontId="4" fillId="0" borderId="23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0" fontId="4" fillId="10" borderId="18" xfId="0" applyFont="1" applyFill="1" applyBorder="1" applyAlignment="1">
      <alignment horizontal="center" vertical="top" wrapText="1"/>
    </xf>
    <xf numFmtId="0" fontId="6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10" borderId="27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top" wrapText="1"/>
    </xf>
    <xf numFmtId="0" fontId="4" fillId="10" borderId="25" xfId="0" applyFont="1" applyFill="1" applyBorder="1" applyAlignment="1">
      <alignment horizontal="center" vertical="top" wrapText="1"/>
    </xf>
    <xf numFmtId="0" fontId="4" fillId="10" borderId="18" xfId="0" applyFont="1" applyFill="1" applyBorder="1" applyAlignment="1">
      <alignment horizontal="center" vertical="top" wrapText="1"/>
    </xf>
    <xf numFmtId="0" fontId="4" fillId="10" borderId="30" xfId="0" applyFont="1" applyFill="1" applyBorder="1" applyAlignment="1">
      <alignment horizontal="center" vertical="top" wrapText="1"/>
    </xf>
    <xf numFmtId="0" fontId="3" fillId="10" borderId="3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top" textRotation="90" wrapText="1"/>
    </xf>
    <xf numFmtId="0" fontId="3" fillId="10" borderId="34" xfId="0" applyFont="1" applyFill="1" applyBorder="1" applyAlignment="1">
      <alignment horizontal="center" vertical="top" textRotation="90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6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3" fontId="25" fillId="0" borderId="31" xfId="0" applyNumberFormat="1" applyFont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center" vertical="center" wrapText="1"/>
    </xf>
    <xf numFmtId="0" fontId="35" fillId="4" borderId="31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29" fillId="4" borderId="45" xfId="0" applyFont="1" applyFill="1" applyBorder="1" applyAlignment="1">
      <alignment horizontal="center" vertical="center"/>
    </xf>
    <xf numFmtId="0" fontId="29" fillId="4" borderId="46" xfId="0" applyFont="1" applyFill="1" applyBorder="1" applyAlignment="1">
      <alignment horizontal="center" vertical="center"/>
    </xf>
    <xf numFmtId="0" fontId="29" fillId="4" borderId="47" xfId="0" applyFont="1" applyFill="1" applyBorder="1" applyAlignment="1">
      <alignment horizontal="center" vertical="center"/>
    </xf>
    <xf numFmtId="0" fontId="29" fillId="4" borderId="48" xfId="0" applyFont="1" applyFill="1" applyBorder="1" applyAlignment="1">
      <alignment horizontal="center" vertical="center"/>
    </xf>
    <xf numFmtId="0" fontId="29" fillId="4" borderId="49" xfId="0" applyFont="1" applyFill="1" applyBorder="1" applyAlignment="1">
      <alignment horizontal="center" vertical="center"/>
    </xf>
    <xf numFmtId="0" fontId="29" fillId="4" borderId="50" xfId="0" applyFont="1" applyFill="1" applyBorder="1" applyAlignment="1">
      <alignment horizontal="center" vertical="center"/>
    </xf>
    <xf numFmtId="0" fontId="26" fillId="4" borderId="40" xfId="0" applyFont="1" applyFill="1" applyBorder="1" applyAlignment="1">
      <alignment horizontal="center" vertical="center" wrapText="1"/>
    </xf>
    <xf numFmtId="0" fontId="26" fillId="4" borderId="51" xfId="0" applyFont="1" applyFill="1" applyBorder="1" applyAlignment="1">
      <alignment horizontal="center" vertical="center" wrapText="1"/>
    </xf>
    <xf numFmtId="0" fontId="26" fillId="4" borderId="41" xfId="0" applyFont="1" applyFill="1" applyBorder="1" applyAlignment="1">
      <alignment horizontal="center" vertical="center" wrapText="1"/>
    </xf>
    <xf numFmtId="0" fontId="11" fillId="4" borderId="52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29" fillId="4" borderId="3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6" fillId="4" borderId="55" xfId="0" applyFont="1" applyFill="1" applyBorder="1" applyAlignment="1">
      <alignment horizontal="center" vertical="center" wrapText="1"/>
    </xf>
    <xf numFmtId="0" fontId="26" fillId="4" borderId="56" xfId="0" applyFont="1" applyFill="1" applyBorder="1" applyAlignment="1">
      <alignment horizontal="center" vertical="center" wrapText="1"/>
    </xf>
    <xf numFmtId="0" fontId="26" fillId="4" borderId="57" xfId="0" applyFont="1" applyFill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 wrapText="1"/>
    </xf>
    <xf numFmtId="0" fontId="26" fillId="4" borderId="43" xfId="0" applyFont="1" applyFill="1" applyBorder="1" applyAlignment="1">
      <alignment horizontal="center" vertical="center" wrapText="1"/>
    </xf>
    <xf numFmtId="0" fontId="26" fillId="4" borderId="44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F6" xfId="34"/>
    <cellStyle name="F7" xfId="35"/>
    <cellStyle name="pNormal" xfId="36"/>
    <cellStyle name="pUni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zoomScale="76" zoomScaleNormal="76" workbookViewId="0" topLeftCell="A1">
      <selection activeCell="K15" sqref="K15"/>
    </sheetView>
  </sheetViews>
  <sheetFormatPr defaultColWidth="9.125" defaultRowHeight="12.75"/>
  <cols>
    <col min="1" max="1" width="23.375" style="5" customWidth="1"/>
    <col min="2" max="2" width="4.875" style="17" customWidth="1"/>
    <col min="3" max="11" width="7.75390625" style="16" customWidth="1"/>
    <col min="12" max="12" width="3.625" style="5" customWidth="1"/>
    <col min="13" max="13" width="5.375" style="5" customWidth="1"/>
    <col min="14" max="14" width="5.875" style="5" customWidth="1"/>
    <col min="15" max="15" width="5.375" style="5" customWidth="1"/>
    <col min="16" max="16" width="5.875" style="5" customWidth="1"/>
    <col min="17" max="17" width="5.375" style="5" customWidth="1"/>
    <col min="18" max="18" width="5.875" style="5" customWidth="1"/>
    <col min="19" max="19" width="5.375" style="5" customWidth="1"/>
    <col min="20" max="20" width="5.875" style="5" customWidth="1"/>
    <col min="21" max="21" width="2.25390625" style="5" customWidth="1"/>
    <col min="22" max="16384" width="9.125" style="5" customWidth="1"/>
  </cols>
  <sheetData>
    <row r="1" spans="1:11" s="163" customFormat="1" ht="24" customHeight="1">
      <c r="A1" s="160" t="s">
        <v>0</v>
      </c>
      <c r="B1" s="161"/>
      <c r="C1" s="162"/>
      <c r="D1" s="162"/>
      <c r="E1" s="162"/>
      <c r="F1" s="162"/>
      <c r="G1" s="162"/>
      <c r="H1" s="162"/>
      <c r="I1" s="162"/>
      <c r="J1" s="162"/>
      <c r="K1" s="162"/>
    </row>
    <row r="2" spans="2:11" s="1" customFormat="1" ht="13.5" customHeight="1">
      <c r="B2" s="2"/>
      <c r="C2" s="3"/>
      <c r="D2" s="3"/>
      <c r="E2" s="3"/>
      <c r="F2" s="3"/>
      <c r="G2" s="3"/>
      <c r="H2" s="3"/>
      <c r="I2" s="3"/>
      <c r="J2" s="3"/>
      <c r="K2" s="3"/>
    </row>
    <row r="3" ht="16.5" customHeight="1"/>
    <row r="4" spans="1:20" s="4" customFormat="1" ht="27" customHeight="1">
      <c r="A4" s="175" t="s">
        <v>1</v>
      </c>
      <c r="B4" s="177" t="s">
        <v>2</v>
      </c>
      <c r="C4" s="170" t="s">
        <v>116</v>
      </c>
      <c r="D4" s="171"/>
      <c r="E4" s="170" t="s">
        <v>118</v>
      </c>
      <c r="F4" s="171"/>
      <c r="G4" s="170" t="s">
        <v>125</v>
      </c>
      <c r="H4" s="171"/>
      <c r="I4" s="170" t="s">
        <v>136</v>
      </c>
      <c r="J4" s="172"/>
      <c r="K4" s="62" t="s">
        <v>154</v>
      </c>
      <c r="L4" s="173" t="s">
        <v>3</v>
      </c>
      <c r="M4" s="164" t="s">
        <v>116</v>
      </c>
      <c r="N4" s="164"/>
      <c r="O4" s="164" t="s">
        <v>118</v>
      </c>
      <c r="P4" s="164"/>
      <c r="Q4" s="164" t="s">
        <v>125</v>
      </c>
      <c r="R4" s="164"/>
      <c r="S4" s="164" t="s">
        <v>136</v>
      </c>
      <c r="T4" s="165"/>
    </row>
    <row r="5" spans="1:20" ht="34.5" customHeight="1">
      <c r="A5" s="176"/>
      <c r="B5" s="178"/>
      <c r="C5" s="159" t="s">
        <v>5</v>
      </c>
      <c r="D5" s="159" t="s">
        <v>4</v>
      </c>
      <c r="E5" s="159" t="s">
        <v>170</v>
      </c>
      <c r="F5" s="159" t="s">
        <v>5</v>
      </c>
      <c r="G5" s="159" t="s">
        <v>6</v>
      </c>
      <c r="H5" s="159" t="s">
        <v>170</v>
      </c>
      <c r="I5" s="159" t="s">
        <v>6</v>
      </c>
      <c r="J5" s="159" t="s">
        <v>170</v>
      </c>
      <c r="K5" s="159" t="s">
        <v>6</v>
      </c>
      <c r="L5" s="174"/>
      <c r="M5" s="166" t="s">
        <v>117</v>
      </c>
      <c r="N5" s="167"/>
      <c r="O5" s="166" t="s">
        <v>119</v>
      </c>
      <c r="P5" s="167"/>
      <c r="Q5" s="168" t="s">
        <v>135</v>
      </c>
      <c r="R5" s="168"/>
      <c r="S5" s="168" t="s">
        <v>135</v>
      </c>
      <c r="T5" s="169"/>
    </row>
    <row r="6" spans="1:20" s="8" customFormat="1" ht="15" customHeight="1">
      <c r="A6" s="51" t="s">
        <v>7</v>
      </c>
      <c r="B6" s="6"/>
      <c r="C6" s="86"/>
      <c r="D6" s="86"/>
      <c r="E6" s="86"/>
      <c r="F6" s="86"/>
      <c r="G6" s="86"/>
      <c r="H6" s="86"/>
      <c r="I6" s="7"/>
      <c r="J6" s="86"/>
      <c r="K6" s="7"/>
      <c r="L6" s="7"/>
      <c r="M6" s="64"/>
      <c r="N6" s="65"/>
      <c r="O6" s="64"/>
      <c r="P6" s="65"/>
      <c r="Q6" s="105"/>
      <c r="R6" s="105"/>
      <c r="S6" s="105"/>
      <c r="T6" s="106"/>
    </row>
    <row r="7" spans="1:21" ht="22.5">
      <c r="A7" s="52" t="s">
        <v>8</v>
      </c>
      <c r="B7" s="9" t="s">
        <v>9</v>
      </c>
      <c r="C7" s="76">
        <v>63042.93</v>
      </c>
      <c r="D7" s="77">
        <v>65406.646</v>
      </c>
      <c r="E7" s="76">
        <v>69606.353</v>
      </c>
      <c r="F7" s="77">
        <v>73297.389</v>
      </c>
      <c r="G7" s="76">
        <v>76465.326</v>
      </c>
      <c r="H7" s="77">
        <v>78471.757</v>
      </c>
      <c r="I7" s="152">
        <v>83335.713</v>
      </c>
      <c r="J7" s="77">
        <v>84882.447</v>
      </c>
      <c r="K7" s="152">
        <v>91753.275</v>
      </c>
      <c r="L7" s="10"/>
      <c r="M7" s="66">
        <f>D7-C7</f>
        <v>2363.7160000000003</v>
      </c>
      <c r="N7" s="11">
        <f>D7/C7</f>
        <v>1.0374937522732526</v>
      </c>
      <c r="O7" s="66">
        <f>F7-E7</f>
        <v>3691.035999999993</v>
      </c>
      <c r="P7" s="11">
        <f>F7/E7</f>
        <v>1.0530272861731456</v>
      </c>
      <c r="Q7" s="107">
        <f>H7-G7</f>
        <v>2006.4309999999969</v>
      </c>
      <c r="R7" s="108">
        <f>H7/G7</f>
        <v>1.0262397495042392</v>
      </c>
      <c r="S7" s="107">
        <f>J7-I7</f>
        <v>1546.7339999999967</v>
      </c>
      <c r="T7" s="109">
        <f>J7/I7</f>
        <v>1.0185602779927017</v>
      </c>
      <c r="U7" s="103"/>
    </row>
    <row r="8" spans="1:21" ht="11.25">
      <c r="A8" s="53" t="s">
        <v>10</v>
      </c>
      <c r="B8" s="9" t="s">
        <v>11</v>
      </c>
      <c r="C8" s="78">
        <v>101.2</v>
      </c>
      <c r="D8" s="79">
        <v>102.1</v>
      </c>
      <c r="E8" s="78">
        <v>105.1</v>
      </c>
      <c r="F8" s="79">
        <v>102</v>
      </c>
      <c r="G8" s="78">
        <v>104.9</v>
      </c>
      <c r="H8" s="79">
        <v>100.9</v>
      </c>
      <c r="I8" s="153">
        <v>104.1</v>
      </c>
      <c r="J8" s="79">
        <v>102.3</v>
      </c>
      <c r="K8" s="153">
        <v>102.3</v>
      </c>
      <c r="L8" s="10" t="s">
        <v>11</v>
      </c>
      <c r="M8" s="66"/>
      <c r="N8" s="12">
        <f>D8-C8</f>
        <v>0.8999999999999915</v>
      </c>
      <c r="O8" s="66"/>
      <c r="P8" s="12">
        <f>F8-E8</f>
        <v>-3.0999999999999943</v>
      </c>
      <c r="Q8" s="107"/>
      <c r="R8" s="110">
        <f>H8-G8</f>
        <v>-4</v>
      </c>
      <c r="S8" s="107"/>
      <c r="T8" s="111">
        <f>J8-I8</f>
        <v>-1.7999999999999972</v>
      </c>
      <c r="U8" s="103"/>
    </row>
    <row r="9" spans="1:20" s="8" customFormat="1" ht="15" customHeight="1">
      <c r="A9" s="51" t="s">
        <v>12</v>
      </c>
      <c r="B9" s="6"/>
      <c r="C9" s="86"/>
      <c r="D9" s="86"/>
      <c r="E9" s="86"/>
      <c r="F9" s="86"/>
      <c r="G9" s="86"/>
      <c r="H9" s="86"/>
      <c r="I9" s="7"/>
      <c r="J9" s="86"/>
      <c r="K9" s="7"/>
      <c r="L9" s="7"/>
      <c r="M9" s="64"/>
      <c r="N9" s="65"/>
      <c r="O9" s="64"/>
      <c r="P9" s="65"/>
      <c r="Q9" s="105"/>
      <c r="R9" s="105"/>
      <c r="S9" s="105"/>
      <c r="T9" s="106"/>
    </row>
    <row r="10" spans="1:21" ht="21" customHeight="1">
      <c r="A10" s="52" t="s">
        <v>13</v>
      </c>
      <c r="B10" s="9" t="s">
        <v>9</v>
      </c>
      <c r="C10" s="76">
        <v>6334.881</v>
      </c>
      <c r="D10" s="77">
        <v>6463.586</v>
      </c>
      <c r="E10" s="76">
        <v>6768.565</v>
      </c>
      <c r="F10" s="77">
        <v>6721.647</v>
      </c>
      <c r="G10" s="76">
        <v>6976.547</v>
      </c>
      <c r="H10" s="77">
        <v>6853.6</v>
      </c>
      <c r="I10" s="152">
        <v>7217.14</v>
      </c>
      <c r="J10" s="77">
        <v>7024.47</v>
      </c>
      <c r="K10" s="152">
        <v>7310</v>
      </c>
      <c r="L10" s="10"/>
      <c r="M10" s="66">
        <f>D10-C10</f>
        <v>128.70499999999993</v>
      </c>
      <c r="N10" s="11">
        <f>D10/C10</f>
        <v>1.0203168773020361</v>
      </c>
      <c r="O10" s="66">
        <f>F10-E10</f>
        <v>-46.917999999999665</v>
      </c>
      <c r="P10" s="11">
        <f>F10/E10</f>
        <v>0.9930682500648218</v>
      </c>
      <c r="Q10" s="107">
        <f>H10-G10</f>
        <v>-122.9469999999992</v>
      </c>
      <c r="R10" s="108">
        <f>H10/G10</f>
        <v>0.9823770985847298</v>
      </c>
      <c r="S10" s="107">
        <f>J10-I10</f>
        <v>-192.67000000000007</v>
      </c>
      <c r="T10" s="109">
        <f>J10/I10</f>
        <v>0.973303829494786</v>
      </c>
      <c r="U10" s="103"/>
    </row>
    <row r="11" spans="1:21" ht="11.25">
      <c r="A11" s="53" t="s">
        <v>10</v>
      </c>
      <c r="B11" s="9" t="s">
        <v>11</v>
      </c>
      <c r="C11" s="78">
        <v>101.2</v>
      </c>
      <c r="D11" s="79">
        <v>101.9</v>
      </c>
      <c r="E11" s="78">
        <v>103.1</v>
      </c>
      <c r="F11" s="79">
        <v>102</v>
      </c>
      <c r="G11" s="78">
        <v>99.5</v>
      </c>
      <c r="H11" s="79">
        <v>100</v>
      </c>
      <c r="I11" s="153">
        <v>100</v>
      </c>
      <c r="J11" s="79">
        <v>100</v>
      </c>
      <c r="K11" s="153">
        <v>102</v>
      </c>
      <c r="L11" s="10" t="s">
        <v>11</v>
      </c>
      <c r="M11" s="66"/>
      <c r="N11" s="12">
        <f>D11-C11</f>
        <v>0.7000000000000028</v>
      </c>
      <c r="O11" s="66"/>
      <c r="P11" s="12">
        <f>F11-E11</f>
        <v>-1.0999999999999943</v>
      </c>
      <c r="Q11" s="107"/>
      <c r="R11" s="110">
        <f>H11-G11</f>
        <v>0.5</v>
      </c>
      <c r="S11" s="107"/>
      <c r="T11" s="111">
        <f>J11-I11</f>
        <v>0</v>
      </c>
      <c r="U11" s="103"/>
    </row>
    <row r="12" spans="1:21" ht="33.75">
      <c r="A12" s="52" t="s">
        <v>14</v>
      </c>
      <c r="B12" s="9" t="s">
        <v>9</v>
      </c>
      <c r="C12" s="76">
        <v>8239.509</v>
      </c>
      <c r="D12" s="77">
        <v>8830.9</v>
      </c>
      <c r="E12" s="76">
        <v>8262.324</v>
      </c>
      <c r="F12" s="77">
        <v>9206.828</v>
      </c>
      <c r="G12" s="76">
        <v>8224.415</v>
      </c>
      <c r="H12" s="77">
        <v>9250.6</v>
      </c>
      <c r="I12" s="152">
        <v>8273.127</v>
      </c>
      <c r="J12" s="77">
        <v>9195</v>
      </c>
      <c r="K12" s="152">
        <v>9614.9</v>
      </c>
      <c r="L12" s="10"/>
      <c r="M12" s="66">
        <f>D12-C12</f>
        <v>591.3909999999996</v>
      </c>
      <c r="N12" s="11">
        <f>D12/C12</f>
        <v>1.071775029313033</v>
      </c>
      <c r="O12" s="66">
        <f>F12-E12</f>
        <v>944.503999999999</v>
      </c>
      <c r="P12" s="11">
        <f>F12/E12</f>
        <v>1.1143145681529796</v>
      </c>
      <c r="Q12" s="107">
        <f>H12-G12</f>
        <v>1026.1849999999995</v>
      </c>
      <c r="R12" s="108">
        <f>H12/G12</f>
        <v>1.1247730081714018</v>
      </c>
      <c r="S12" s="107">
        <f>J12-I12</f>
        <v>921.8729999999996</v>
      </c>
      <c r="T12" s="109">
        <f>J12/I12</f>
        <v>1.111429813660542</v>
      </c>
      <c r="U12" s="103"/>
    </row>
    <row r="13" spans="1:21" ht="11.25">
      <c r="A13" s="53" t="s">
        <v>10</v>
      </c>
      <c r="B13" s="9" t="s">
        <v>11</v>
      </c>
      <c r="C13" s="78">
        <v>99.2</v>
      </c>
      <c r="D13" s="79">
        <v>106.3</v>
      </c>
      <c r="E13" s="78">
        <v>96</v>
      </c>
      <c r="F13" s="79">
        <v>102.2</v>
      </c>
      <c r="G13" s="78">
        <v>95.3</v>
      </c>
      <c r="H13" s="79">
        <v>98.5</v>
      </c>
      <c r="I13" s="153">
        <v>96.5</v>
      </c>
      <c r="J13" s="79">
        <v>97</v>
      </c>
      <c r="K13" s="153">
        <v>102.5</v>
      </c>
      <c r="L13" s="10" t="s">
        <v>11</v>
      </c>
      <c r="M13" s="66"/>
      <c r="N13" s="12">
        <f>D13-C13</f>
        <v>7.099999999999994</v>
      </c>
      <c r="O13" s="66"/>
      <c r="P13" s="12">
        <f>F13-E13</f>
        <v>6.200000000000003</v>
      </c>
      <c r="Q13" s="107"/>
      <c r="R13" s="110">
        <f>H13-G13</f>
        <v>3.200000000000003</v>
      </c>
      <c r="S13" s="107"/>
      <c r="T13" s="111">
        <f>J13-I13</f>
        <v>0.5</v>
      </c>
      <c r="U13" s="103"/>
    </row>
    <row r="14" spans="1:20" s="8" customFormat="1" ht="15" customHeight="1">
      <c r="A14" s="51" t="s">
        <v>15</v>
      </c>
      <c r="B14" s="6"/>
      <c r="C14" s="86"/>
      <c r="D14" s="86"/>
      <c r="E14" s="86"/>
      <c r="F14" s="86"/>
      <c r="G14" s="86"/>
      <c r="H14" s="86"/>
      <c r="I14" s="7"/>
      <c r="J14" s="86"/>
      <c r="K14" s="7"/>
      <c r="L14" s="7"/>
      <c r="M14" s="64"/>
      <c r="N14" s="65"/>
      <c r="O14" s="64"/>
      <c r="P14" s="65"/>
      <c r="Q14" s="105"/>
      <c r="R14" s="105"/>
      <c r="S14" s="105"/>
      <c r="T14" s="106"/>
    </row>
    <row r="15" spans="1:21" ht="22.5">
      <c r="A15" s="52" t="s">
        <v>16</v>
      </c>
      <c r="B15" s="9" t="s">
        <v>17</v>
      </c>
      <c r="C15" s="78">
        <v>117.5</v>
      </c>
      <c r="D15" s="81">
        <v>118.151</v>
      </c>
      <c r="E15" s="78">
        <v>117.85</v>
      </c>
      <c r="F15" s="81">
        <v>117</v>
      </c>
      <c r="G15" s="78">
        <v>119.15</v>
      </c>
      <c r="H15" s="81">
        <v>118.35</v>
      </c>
      <c r="I15" s="82">
        <v>120.5</v>
      </c>
      <c r="J15" s="81">
        <v>119.7</v>
      </c>
      <c r="K15" s="82">
        <v>121.05</v>
      </c>
      <c r="L15" s="10"/>
      <c r="M15" s="118">
        <f>D15-C15</f>
        <v>0.6509999999999962</v>
      </c>
      <c r="N15" s="11">
        <f>D15/C15</f>
        <v>1.005540425531915</v>
      </c>
      <c r="O15" s="118">
        <f>F15-E15</f>
        <v>-0.8499999999999943</v>
      </c>
      <c r="P15" s="11">
        <f>F15/E15</f>
        <v>0.9927874416631312</v>
      </c>
      <c r="Q15" s="119">
        <f>H15-G15</f>
        <v>-0.8000000000000114</v>
      </c>
      <c r="R15" s="108">
        <f>H15/G15</f>
        <v>0.9932857742341585</v>
      </c>
      <c r="S15" s="119">
        <f>J15-I15</f>
        <v>-0.7999999999999972</v>
      </c>
      <c r="T15" s="109">
        <f>J15/I15</f>
        <v>0.9933609958506224</v>
      </c>
      <c r="U15" s="103"/>
    </row>
    <row r="16" spans="1:21" ht="33.75">
      <c r="A16" s="52" t="s">
        <v>18</v>
      </c>
      <c r="B16" s="9" t="s">
        <v>17</v>
      </c>
      <c r="C16" s="78">
        <v>48.05</v>
      </c>
      <c r="D16" s="79">
        <v>48.1</v>
      </c>
      <c r="E16" s="78">
        <v>48.25</v>
      </c>
      <c r="F16" s="79">
        <v>48.25</v>
      </c>
      <c r="G16" s="78">
        <v>48.45</v>
      </c>
      <c r="H16" s="79">
        <v>48.45</v>
      </c>
      <c r="I16" s="153">
        <v>48.65</v>
      </c>
      <c r="J16" s="79">
        <v>48.65</v>
      </c>
      <c r="K16" s="153">
        <v>48.85</v>
      </c>
      <c r="L16" s="10"/>
      <c r="M16" s="118">
        <f>D16-C16</f>
        <v>0.05000000000000426</v>
      </c>
      <c r="N16" s="11">
        <f>D16/C16</f>
        <v>1.001040582726327</v>
      </c>
      <c r="O16" s="118">
        <f>F16-E16</f>
        <v>0</v>
      </c>
      <c r="P16" s="11">
        <f>F16/E16</f>
        <v>1</v>
      </c>
      <c r="Q16" s="119">
        <f>H16-G16</f>
        <v>0</v>
      </c>
      <c r="R16" s="108">
        <f>H16/G16</f>
        <v>1</v>
      </c>
      <c r="S16" s="119">
        <f>J16-I16</f>
        <v>0</v>
      </c>
      <c r="T16" s="109">
        <f>J16/I16</f>
        <v>1</v>
      </c>
      <c r="U16" s="103"/>
    </row>
    <row r="17" spans="1:20" s="8" customFormat="1" ht="15" customHeight="1">
      <c r="A17" s="51" t="s">
        <v>19</v>
      </c>
      <c r="B17" s="6"/>
      <c r="C17" s="86"/>
      <c r="D17" s="86"/>
      <c r="E17" s="86"/>
      <c r="F17" s="86"/>
      <c r="G17" s="86"/>
      <c r="H17" s="86"/>
      <c r="I17" s="7"/>
      <c r="J17" s="86"/>
      <c r="K17" s="7"/>
      <c r="L17" s="7"/>
      <c r="M17" s="64"/>
      <c r="N17" s="65"/>
      <c r="O17" s="64"/>
      <c r="P17" s="65"/>
      <c r="Q17" s="105"/>
      <c r="R17" s="105"/>
      <c r="S17" s="105"/>
      <c r="T17" s="106"/>
    </row>
    <row r="18" spans="1:21" ht="21" customHeight="1">
      <c r="A18" s="52" t="s">
        <v>20</v>
      </c>
      <c r="B18" s="9" t="s">
        <v>9</v>
      </c>
      <c r="C18" s="76">
        <v>24021.086</v>
      </c>
      <c r="D18" s="77">
        <v>24101.845</v>
      </c>
      <c r="E18" s="76">
        <v>25973.88</v>
      </c>
      <c r="F18" s="77">
        <v>25840.165</v>
      </c>
      <c r="G18" s="76">
        <v>28111.467</v>
      </c>
      <c r="H18" s="77">
        <v>27675.984</v>
      </c>
      <c r="I18" s="152">
        <v>30452.27</v>
      </c>
      <c r="J18" s="77">
        <v>29917.965</v>
      </c>
      <c r="K18" s="152">
        <v>32360.331</v>
      </c>
      <c r="L18" s="10"/>
      <c r="M18" s="66">
        <f>D18-C18</f>
        <v>80.75900000000183</v>
      </c>
      <c r="N18" s="11">
        <f>D18/C18</f>
        <v>1.003362004532185</v>
      </c>
      <c r="O18" s="66">
        <f>F18-E18</f>
        <v>-133.71500000000015</v>
      </c>
      <c r="P18" s="11">
        <f>F18/E18</f>
        <v>0.9948519435679228</v>
      </c>
      <c r="Q18" s="107">
        <f>H18-G18</f>
        <v>-435.4830000000002</v>
      </c>
      <c r="R18" s="108">
        <f>H18/G18</f>
        <v>0.9845087060024296</v>
      </c>
      <c r="S18" s="107">
        <f>J18-I18</f>
        <v>-534.3050000000003</v>
      </c>
      <c r="T18" s="109">
        <f>J18/I18</f>
        <v>0.9824543457679837</v>
      </c>
      <c r="U18" s="103"/>
    </row>
    <row r="19" spans="1:21" ht="11.25">
      <c r="A19" s="53" t="s">
        <v>21</v>
      </c>
      <c r="B19" s="9" t="s">
        <v>11</v>
      </c>
      <c r="C19" s="78">
        <v>109.67821264557276</v>
      </c>
      <c r="D19" s="81">
        <f>D18/21901.42*100</f>
        <v>110.04695129356912</v>
      </c>
      <c r="E19" s="78">
        <v>108.12949922413999</v>
      </c>
      <c r="F19" s="81">
        <f>F18/D18*100</f>
        <v>107.2123939059437</v>
      </c>
      <c r="G19" s="78">
        <v>108.22975620122986</v>
      </c>
      <c r="H19" s="81">
        <f>H18/F18*100</f>
        <v>107.10451732796598</v>
      </c>
      <c r="I19" s="153">
        <f>I18/H18*100</f>
        <v>110.03139039247891</v>
      </c>
      <c r="J19" s="81">
        <f>J18/H18*100</f>
        <v>108.1008176619845</v>
      </c>
      <c r="K19" s="153">
        <f>K18/J18*100</f>
        <v>108.16354320890473</v>
      </c>
      <c r="L19" s="10" t="s">
        <v>11</v>
      </c>
      <c r="M19" s="66"/>
      <c r="N19" s="12">
        <f>D19-C19</f>
        <v>0.36873864799636635</v>
      </c>
      <c r="O19" s="66"/>
      <c r="P19" s="12">
        <f>F19-E19</f>
        <v>-0.9171053181962918</v>
      </c>
      <c r="Q19" s="107"/>
      <c r="R19" s="110">
        <f>H19-G19</f>
        <v>-1.125238873263882</v>
      </c>
      <c r="S19" s="107"/>
      <c r="T19" s="111">
        <f>J19-I19</f>
        <v>-1.9305727304944185</v>
      </c>
      <c r="U19" s="103"/>
    </row>
    <row r="20" spans="1:21" ht="22.5">
      <c r="A20" s="52" t="s">
        <v>22</v>
      </c>
      <c r="B20" s="9" t="s">
        <v>23</v>
      </c>
      <c r="C20" s="76">
        <v>41659.87859868193</v>
      </c>
      <c r="D20" s="83">
        <f aca="true" t="shared" si="0" ref="D20:K20">D18/D16/12*1000</f>
        <v>41756.48821898822</v>
      </c>
      <c r="E20" s="76">
        <v>44859.89637305699</v>
      </c>
      <c r="F20" s="83">
        <f t="shared" si="0"/>
        <v>44628.95509499137</v>
      </c>
      <c r="G20" s="76">
        <v>48351.33642930856</v>
      </c>
      <c r="H20" s="83">
        <f t="shared" si="0"/>
        <v>47602.31166150671</v>
      </c>
      <c r="I20" s="154">
        <f t="shared" si="0"/>
        <v>52162.161699212054</v>
      </c>
      <c r="J20" s="83">
        <f t="shared" si="0"/>
        <v>51246.94244604316</v>
      </c>
      <c r="K20" s="83">
        <f t="shared" si="0"/>
        <v>55203.567041965194</v>
      </c>
      <c r="L20" s="10"/>
      <c r="M20" s="66">
        <f>D20-C20</f>
        <v>96.60962030629162</v>
      </c>
      <c r="N20" s="11">
        <f>D20/C20</f>
        <v>1.0023190086854776</v>
      </c>
      <c r="O20" s="66">
        <f>F20-E20</f>
        <v>-230.94127806562028</v>
      </c>
      <c r="P20" s="11">
        <f>F20/E20</f>
        <v>0.9948519435679231</v>
      </c>
      <c r="Q20" s="107">
        <f>H20-G20</f>
        <v>-749.0247678018495</v>
      </c>
      <c r="R20" s="108">
        <f>H20/G20</f>
        <v>0.9845087060024297</v>
      </c>
      <c r="S20" s="107">
        <f>J20-I20</f>
        <v>-915.2192531688925</v>
      </c>
      <c r="T20" s="109">
        <f>J20/I20</f>
        <v>0.9824543457679838</v>
      </c>
      <c r="U20" s="103"/>
    </row>
    <row r="21" spans="1:21" ht="11.25">
      <c r="A21" s="53" t="s">
        <v>21</v>
      </c>
      <c r="B21" s="9" t="s">
        <v>11</v>
      </c>
      <c r="C21" s="78">
        <v>109.44995413850603</v>
      </c>
      <c r="D21" s="81">
        <f>D20/38063*100</f>
        <v>109.70361826179813</v>
      </c>
      <c r="E21" s="78">
        <v>107.68129404600883</v>
      </c>
      <c r="F21" s="81">
        <f>F20/D20*100</f>
        <v>106.87909112696153</v>
      </c>
      <c r="G21" s="78">
        <v>107.78298734178206</v>
      </c>
      <c r="H21" s="81">
        <f>H20/F20*100</f>
        <v>106.66239341742742</v>
      </c>
      <c r="I21" s="153">
        <f>I20/H20*100</f>
        <v>109.57905168582944</v>
      </c>
      <c r="J21" s="81">
        <f>J20/H20*100</f>
        <v>107.65641553387763</v>
      </c>
      <c r="K21" s="153">
        <f>K20/J20*100</f>
        <v>107.7207037280085</v>
      </c>
      <c r="L21" s="10" t="s">
        <v>11</v>
      </c>
      <c r="M21" s="66"/>
      <c r="N21" s="12">
        <f>D21-C21</f>
        <v>0.2536641232920971</v>
      </c>
      <c r="O21" s="66"/>
      <c r="P21" s="12">
        <f>F21-E21</f>
        <v>-0.8022029190473035</v>
      </c>
      <c r="Q21" s="107"/>
      <c r="R21" s="110">
        <f>H21-G21</f>
        <v>-1.1205939243546368</v>
      </c>
      <c r="S21" s="107"/>
      <c r="T21" s="111">
        <f>J21-I21</f>
        <v>-1.9226361519518065</v>
      </c>
      <c r="U21" s="103"/>
    </row>
    <row r="22" spans="1:20" s="8" customFormat="1" ht="15" customHeight="1">
      <c r="A22" s="51" t="s">
        <v>24</v>
      </c>
      <c r="B22" s="6"/>
      <c r="C22" s="86"/>
      <c r="D22" s="86"/>
      <c r="E22" s="86"/>
      <c r="F22" s="86"/>
      <c r="G22" s="86"/>
      <c r="H22" s="86"/>
      <c r="I22" s="7"/>
      <c r="J22" s="86"/>
      <c r="K22" s="7"/>
      <c r="L22" s="7"/>
      <c r="M22" s="64"/>
      <c r="N22" s="65"/>
      <c r="O22" s="64"/>
      <c r="P22" s="65"/>
      <c r="Q22" s="105"/>
      <c r="R22" s="105"/>
      <c r="S22" s="105"/>
      <c r="T22" s="106"/>
    </row>
    <row r="23" spans="1:21" ht="33.75">
      <c r="A23" s="52" t="s">
        <v>25</v>
      </c>
      <c r="B23" s="9" t="s">
        <v>17</v>
      </c>
      <c r="C23" s="78">
        <v>19.147</v>
      </c>
      <c r="D23" s="79">
        <v>19.15</v>
      </c>
      <c r="E23" s="78">
        <v>19.277</v>
      </c>
      <c r="F23" s="153">
        <v>19.38</v>
      </c>
      <c r="G23" s="78">
        <v>19.407</v>
      </c>
      <c r="H23" s="153">
        <v>19.5</v>
      </c>
      <c r="I23" s="155">
        <v>19.537</v>
      </c>
      <c r="J23" s="79">
        <v>19.6</v>
      </c>
      <c r="K23" s="79">
        <v>19.75</v>
      </c>
      <c r="L23" s="10"/>
      <c r="M23" s="120">
        <f>D23-C23</f>
        <v>0.0030000000000001137</v>
      </c>
      <c r="N23" s="11">
        <f>D23/C23</f>
        <v>1.0001566825090094</v>
      </c>
      <c r="O23" s="120">
        <f>F23-E23</f>
        <v>0.10299999999999798</v>
      </c>
      <c r="P23" s="11">
        <f>F23/E23</f>
        <v>1.0053431550552472</v>
      </c>
      <c r="Q23" s="121">
        <f>H23-G23</f>
        <v>0.09299999999999997</v>
      </c>
      <c r="R23" s="108">
        <f>H23/G23</f>
        <v>1.0047920853300356</v>
      </c>
      <c r="S23" s="121">
        <f>J23-I23</f>
        <v>0.06300000000000239</v>
      </c>
      <c r="T23" s="109">
        <f>J23/I23</f>
        <v>1.003224650662845</v>
      </c>
      <c r="U23" s="103"/>
    </row>
    <row r="24" spans="1:21" ht="33.75">
      <c r="A24" s="53" t="s">
        <v>26</v>
      </c>
      <c r="B24" s="9" t="s">
        <v>11</v>
      </c>
      <c r="C24" s="78">
        <v>39.8480749219563</v>
      </c>
      <c r="D24" s="82">
        <f aca="true" t="shared" si="1" ref="D24:K24">D23/D16*100</f>
        <v>39.81288981288981</v>
      </c>
      <c r="E24" s="78">
        <v>39.95233160621762</v>
      </c>
      <c r="F24" s="82">
        <f t="shared" si="1"/>
        <v>40.16580310880829</v>
      </c>
      <c r="G24" s="78">
        <v>40.05572755417957</v>
      </c>
      <c r="H24" s="82">
        <f t="shared" si="1"/>
        <v>40.24767801857585</v>
      </c>
      <c r="I24" s="156">
        <f t="shared" si="1"/>
        <v>40.15827338129496</v>
      </c>
      <c r="J24" s="81">
        <f t="shared" si="1"/>
        <v>40.28776978417267</v>
      </c>
      <c r="K24" s="82">
        <f t="shared" si="1"/>
        <v>40.429887410440124</v>
      </c>
      <c r="L24" s="10" t="s">
        <v>11</v>
      </c>
      <c r="M24" s="66"/>
      <c r="N24" s="12">
        <f>D24-C24</f>
        <v>-0.03518510906648942</v>
      </c>
      <c r="O24" s="66"/>
      <c r="P24" s="12">
        <f>F24-E24</f>
        <v>0.2134715025906715</v>
      </c>
      <c r="Q24" s="107"/>
      <c r="R24" s="110">
        <f>H24-G24</f>
        <v>0.19195046439627816</v>
      </c>
      <c r="S24" s="107"/>
      <c r="T24" s="111">
        <f>J24-I24</f>
        <v>0.12949640287770592</v>
      </c>
      <c r="U24" s="103"/>
    </row>
    <row r="25" spans="1:21" ht="33.75">
      <c r="A25" s="52" t="s">
        <v>27</v>
      </c>
      <c r="B25" s="9" t="s">
        <v>9</v>
      </c>
      <c r="C25" s="76">
        <v>80929.055</v>
      </c>
      <c r="D25" s="77">
        <v>80425.706</v>
      </c>
      <c r="E25" s="76">
        <v>85410.786</v>
      </c>
      <c r="F25" s="152">
        <v>86175.916</v>
      </c>
      <c r="G25" s="76">
        <v>90437.566</v>
      </c>
      <c r="H25" s="152">
        <v>88428.52</v>
      </c>
      <c r="I25" s="157">
        <v>96903.315</v>
      </c>
      <c r="J25" s="77">
        <v>93778.177</v>
      </c>
      <c r="K25" s="77">
        <v>100731.171</v>
      </c>
      <c r="L25" s="10"/>
      <c r="M25" s="66">
        <f>D25-C25</f>
        <v>-503.3489999999874</v>
      </c>
      <c r="N25" s="11">
        <f>D25/C25</f>
        <v>0.9937803672611772</v>
      </c>
      <c r="O25" s="66">
        <f>F25-E25</f>
        <v>765.1300000000047</v>
      </c>
      <c r="P25" s="11">
        <f>F25/E25</f>
        <v>1.0089582362583573</v>
      </c>
      <c r="Q25" s="107">
        <f>H25-G25</f>
        <v>-2009.046000000002</v>
      </c>
      <c r="R25" s="108">
        <f>H25/G25</f>
        <v>0.977785271222359</v>
      </c>
      <c r="S25" s="107">
        <f>J25-I25</f>
        <v>-3125.1380000000063</v>
      </c>
      <c r="T25" s="109">
        <f>J25/I25</f>
        <v>0.9677499371409533</v>
      </c>
      <c r="U25" s="103"/>
    </row>
    <row r="26" spans="1:21" ht="33.75">
      <c r="A26" s="53" t="s">
        <v>28</v>
      </c>
      <c r="B26" s="9" t="s">
        <v>11</v>
      </c>
      <c r="C26" s="78">
        <v>45.085470108087335</v>
      </c>
      <c r="D26" s="82">
        <f aca="true" t="shared" si="2" ref="D26:K26">D25/D28*100</f>
        <v>43.68648798158193</v>
      </c>
      <c r="E26" s="78">
        <v>44.47912834417435</v>
      </c>
      <c r="F26" s="82">
        <f t="shared" si="2"/>
        <v>44.22362851951617</v>
      </c>
      <c r="G26" s="78">
        <v>43.98918134693916</v>
      </c>
      <c r="H26" s="82">
        <f t="shared" si="2"/>
        <v>42.6984387382673</v>
      </c>
      <c r="I26" s="156">
        <f>I25/I28*100</f>
        <v>43.662786595554124</v>
      </c>
      <c r="J26" s="81">
        <f t="shared" si="2"/>
        <v>42.27938873184868</v>
      </c>
      <c r="K26" s="156">
        <f t="shared" si="2"/>
        <v>42.22650375370935</v>
      </c>
      <c r="L26" s="10" t="s">
        <v>11</v>
      </c>
      <c r="M26" s="66"/>
      <c r="N26" s="12">
        <f>D26-C26</f>
        <v>-1.398982126505409</v>
      </c>
      <c r="O26" s="66"/>
      <c r="P26" s="12">
        <f>F26-E26</f>
        <v>-0.25549982465818033</v>
      </c>
      <c r="Q26" s="107"/>
      <c r="R26" s="110">
        <f>H26-G26</f>
        <v>-1.290742608671863</v>
      </c>
      <c r="S26" s="107"/>
      <c r="T26" s="111">
        <f>J26-I26</f>
        <v>-1.3833978637054472</v>
      </c>
      <c r="U26" s="103"/>
    </row>
    <row r="27" spans="1:21" s="8" customFormat="1" ht="36" customHeight="1">
      <c r="A27" s="54" t="s">
        <v>29</v>
      </c>
      <c r="B27" s="13"/>
      <c r="C27" s="80"/>
      <c r="D27" s="80"/>
      <c r="E27" s="80"/>
      <c r="F27" s="80"/>
      <c r="G27" s="80"/>
      <c r="H27" s="80"/>
      <c r="I27" s="80"/>
      <c r="J27" s="80"/>
      <c r="K27" s="80"/>
      <c r="L27" s="14"/>
      <c r="M27" s="15"/>
      <c r="N27" s="63"/>
      <c r="O27" s="15"/>
      <c r="P27" s="63"/>
      <c r="Q27" s="112"/>
      <c r="R27" s="113"/>
      <c r="S27" s="112"/>
      <c r="T27" s="114"/>
      <c r="U27" s="103"/>
    </row>
    <row r="28" spans="1:21" ht="37.5" customHeight="1">
      <c r="A28" s="52" t="s">
        <v>30</v>
      </c>
      <c r="B28" s="9" t="s">
        <v>9</v>
      </c>
      <c r="C28" s="76">
        <v>179501.411</v>
      </c>
      <c r="D28" s="77">
        <v>184097.44</v>
      </c>
      <c r="E28" s="76">
        <v>192024.415</v>
      </c>
      <c r="F28" s="77">
        <v>194863.965</v>
      </c>
      <c r="G28" s="76">
        <v>205590.473</v>
      </c>
      <c r="H28" s="77">
        <v>207100.125</v>
      </c>
      <c r="I28" s="152">
        <v>221935.709</v>
      </c>
      <c r="J28" s="77">
        <v>221805.896</v>
      </c>
      <c r="K28" s="152">
        <v>238549.636</v>
      </c>
      <c r="L28" s="10"/>
      <c r="M28" s="66">
        <f>D28-C28</f>
        <v>4596.02900000001</v>
      </c>
      <c r="N28" s="11">
        <f>D28/C28</f>
        <v>1.025604417115139</v>
      </c>
      <c r="O28" s="66">
        <f>F28-E28</f>
        <v>2839.5499999999884</v>
      </c>
      <c r="P28" s="11">
        <f>F28/E28</f>
        <v>1.0147874425239103</v>
      </c>
      <c r="Q28" s="107">
        <f>H28-G28</f>
        <v>1509.6520000000019</v>
      </c>
      <c r="R28" s="108">
        <f>H28/G28</f>
        <v>1.0073430056265302</v>
      </c>
      <c r="S28" s="107">
        <f>J28-I28</f>
        <v>-129.81299999999464</v>
      </c>
      <c r="T28" s="109">
        <f>J28/I28</f>
        <v>0.9994150873665851</v>
      </c>
      <c r="U28" s="103"/>
    </row>
    <row r="29" spans="1:21" s="8" customFormat="1" ht="30.75" customHeight="1">
      <c r="A29" s="54" t="s">
        <v>31</v>
      </c>
      <c r="B29" s="13"/>
      <c r="C29" s="80"/>
      <c r="D29" s="80"/>
      <c r="E29" s="80"/>
      <c r="F29" s="80"/>
      <c r="G29" s="80"/>
      <c r="H29" s="80"/>
      <c r="I29" s="80"/>
      <c r="J29" s="80"/>
      <c r="K29" s="80"/>
      <c r="L29" s="14"/>
      <c r="M29" s="15"/>
      <c r="N29" s="63"/>
      <c r="O29" s="15"/>
      <c r="P29" s="63"/>
      <c r="Q29" s="112"/>
      <c r="R29" s="113"/>
      <c r="S29" s="112"/>
      <c r="T29" s="114"/>
      <c r="U29" s="103"/>
    </row>
    <row r="30" spans="1:21" ht="24.75" customHeight="1">
      <c r="A30" s="52" t="s">
        <v>32</v>
      </c>
      <c r="B30" s="9" t="s">
        <v>9</v>
      </c>
      <c r="C30" s="76">
        <v>8428.6</v>
      </c>
      <c r="D30" s="77">
        <v>8116.5</v>
      </c>
      <c r="E30" s="76">
        <v>8805.8</v>
      </c>
      <c r="F30" s="77">
        <v>7203.1</v>
      </c>
      <c r="G30" s="76">
        <v>9296.4</v>
      </c>
      <c r="H30" s="77">
        <v>7669.9</v>
      </c>
      <c r="I30" s="152">
        <v>9925.1</v>
      </c>
      <c r="J30" s="77">
        <v>8209.5</v>
      </c>
      <c r="K30" s="152">
        <v>8778</v>
      </c>
      <c r="L30" s="10"/>
      <c r="M30" s="66">
        <f>D30-C30</f>
        <v>-312.10000000000036</v>
      </c>
      <c r="N30" s="11">
        <f>D30/C30</f>
        <v>0.9629713119616543</v>
      </c>
      <c r="O30" s="66">
        <f>F30-E30</f>
        <v>-1602.699999999999</v>
      </c>
      <c r="P30" s="11">
        <f>F30/E30</f>
        <v>0.8179949578686776</v>
      </c>
      <c r="Q30" s="107">
        <f>H30-G30</f>
        <v>-1626.5</v>
      </c>
      <c r="R30" s="108">
        <f>H30/G30</f>
        <v>0.8250398003528248</v>
      </c>
      <c r="S30" s="107">
        <f>J30-I30</f>
        <v>-1715.6000000000004</v>
      </c>
      <c r="T30" s="109">
        <f>J30/I30</f>
        <v>0.8271453184350787</v>
      </c>
      <c r="U30" s="103"/>
    </row>
    <row r="31" spans="1:21" s="8" customFormat="1" ht="39" customHeight="1">
      <c r="A31" s="54" t="s">
        <v>152</v>
      </c>
      <c r="B31" s="13"/>
      <c r="C31" s="102"/>
      <c r="D31" s="80"/>
      <c r="E31" s="102"/>
      <c r="F31" s="80"/>
      <c r="G31" s="102"/>
      <c r="H31" s="80"/>
      <c r="I31" s="102"/>
      <c r="J31" s="80"/>
      <c r="K31" s="80"/>
      <c r="L31" s="14"/>
      <c r="M31" s="15"/>
      <c r="N31" s="63"/>
      <c r="O31" s="15"/>
      <c r="P31" s="63"/>
      <c r="Q31" s="112"/>
      <c r="R31" s="113"/>
      <c r="S31" s="112"/>
      <c r="T31" s="114"/>
      <c r="U31" s="103"/>
    </row>
    <row r="32" spans="1:21" ht="38.25" customHeight="1">
      <c r="A32" s="55" t="s">
        <v>153</v>
      </c>
      <c r="B32" s="56" t="s">
        <v>9</v>
      </c>
      <c r="C32" s="84">
        <v>26062.153</v>
      </c>
      <c r="D32" s="158">
        <v>27427.453</v>
      </c>
      <c r="E32" s="84">
        <v>27918.639</v>
      </c>
      <c r="F32" s="85">
        <v>27392.734</v>
      </c>
      <c r="G32" s="84">
        <v>27931.635</v>
      </c>
      <c r="H32" s="85">
        <v>27410.825</v>
      </c>
      <c r="I32" s="85">
        <v>28017.672</v>
      </c>
      <c r="J32" s="85">
        <v>27435.744</v>
      </c>
      <c r="K32" s="85">
        <v>27398.85</v>
      </c>
      <c r="L32" s="57"/>
      <c r="M32" s="100">
        <f>D32-C32</f>
        <v>1365.300000000003</v>
      </c>
      <c r="N32" s="101">
        <f>D32/C32</f>
        <v>1.0523863089898982</v>
      </c>
      <c r="O32" s="100">
        <f>F32-E32</f>
        <v>-525.9049999999988</v>
      </c>
      <c r="P32" s="101">
        <f>F32/E32</f>
        <v>0.9811629427924478</v>
      </c>
      <c r="Q32" s="115">
        <f>H32-G32</f>
        <v>-520.8099999999977</v>
      </c>
      <c r="R32" s="116">
        <f>H32/G32</f>
        <v>0.9813541169358687</v>
      </c>
      <c r="S32" s="115">
        <f>J32-I32</f>
        <v>-581.9279999999999</v>
      </c>
      <c r="T32" s="117">
        <f>J32/I32</f>
        <v>0.979229966001458</v>
      </c>
      <c r="U32" s="103"/>
    </row>
  </sheetData>
  <sheetProtection/>
  <mergeCells count="15">
    <mergeCell ref="A4:A5"/>
    <mergeCell ref="B4:B5"/>
    <mergeCell ref="C4:D4"/>
    <mergeCell ref="E4:F4"/>
    <mergeCell ref="G4:H4"/>
    <mergeCell ref="I4:J4"/>
    <mergeCell ref="L4:L5"/>
    <mergeCell ref="M4:N4"/>
    <mergeCell ref="O4:P4"/>
    <mergeCell ref="Q4:R4"/>
    <mergeCell ref="S4:T4"/>
    <mergeCell ref="M5:N5"/>
    <mergeCell ref="O5:P5"/>
    <mergeCell ref="Q5:R5"/>
    <mergeCell ref="S5:T5"/>
  </mergeCells>
  <printOptions/>
  <pageMargins left="0.1968503937007874" right="0.11811023622047245" top="0.7874015748031497" bottom="0.3937007874015748" header="0.11811023622047245" footer="0.11811023622047245"/>
  <pageSetup firstPageNumber="201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58" zoomScaleNormal="58" zoomScaleSheetLayoutView="100" zoomScalePageLayoutView="0" workbookViewId="0" topLeftCell="A1">
      <selection activeCell="I37" sqref="I37"/>
    </sheetView>
  </sheetViews>
  <sheetFormatPr defaultColWidth="9.125" defaultRowHeight="12.75"/>
  <cols>
    <col min="1" max="1" width="59.875" style="18" customWidth="1"/>
    <col min="2" max="2" width="9.00390625" style="18" customWidth="1"/>
    <col min="3" max="7" width="14.125" style="18" customWidth="1"/>
    <col min="8" max="16384" width="9.125" style="18" customWidth="1"/>
  </cols>
  <sheetData>
    <row r="1" spans="1:7" ht="15">
      <c r="A1" s="184" t="s">
        <v>34</v>
      </c>
      <c r="B1" s="184" t="s">
        <v>35</v>
      </c>
      <c r="C1" s="185" t="s">
        <v>36</v>
      </c>
      <c r="D1" s="185"/>
      <c r="E1" s="185"/>
      <c r="F1" s="185"/>
      <c r="G1" s="185"/>
    </row>
    <row r="2" spans="1:7" ht="12.75">
      <c r="A2" s="184"/>
      <c r="B2" s="184"/>
      <c r="C2" s="184" t="s">
        <v>155</v>
      </c>
      <c r="D2" s="184" t="s">
        <v>156</v>
      </c>
      <c r="E2" s="184" t="s">
        <v>120</v>
      </c>
      <c r="F2" s="184" t="s">
        <v>137</v>
      </c>
      <c r="G2" s="184" t="s">
        <v>157</v>
      </c>
    </row>
    <row r="3" spans="1:7" ht="12.75">
      <c r="A3" s="184"/>
      <c r="B3" s="184"/>
      <c r="C3" s="184"/>
      <c r="D3" s="184"/>
      <c r="E3" s="184"/>
      <c r="F3" s="184"/>
      <c r="G3" s="184"/>
    </row>
    <row r="4" spans="1:7" ht="30" customHeight="1">
      <c r="A4" s="179" t="s">
        <v>7</v>
      </c>
      <c r="B4" s="179"/>
      <c r="C4" s="179"/>
      <c r="D4" s="179"/>
      <c r="E4" s="179"/>
      <c r="F4" s="179"/>
      <c r="G4" s="179"/>
    </row>
    <row r="5" spans="1:7" ht="25.5">
      <c r="A5" s="122" t="s">
        <v>121</v>
      </c>
      <c r="B5" s="123" t="s">
        <v>37</v>
      </c>
      <c r="C5" s="124">
        <f>SUM(C7:C10)</f>
        <v>65406645.8</v>
      </c>
      <c r="D5" s="124">
        <f>SUM(D7:D10)</f>
        <v>73297389</v>
      </c>
      <c r="E5" s="124">
        <f>SUM(E7:E10)</f>
        <v>78471757</v>
      </c>
      <c r="F5" s="124">
        <f>SUM(F7:F10)</f>
        <v>84882446.50000001</v>
      </c>
      <c r="G5" s="124">
        <f>SUM(G7:G10)</f>
        <v>91753274.7</v>
      </c>
    </row>
    <row r="6" spans="1:7" ht="12.75">
      <c r="A6" s="67" t="s">
        <v>38</v>
      </c>
      <c r="B6" s="20"/>
      <c r="C6" s="125"/>
      <c r="D6" s="125"/>
      <c r="E6" s="125"/>
      <c r="F6" s="125"/>
      <c r="G6" s="125"/>
    </row>
    <row r="7" spans="1:7" ht="12.75">
      <c r="A7" s="21" t="s">
        <v>39</v>
      </c>
      <c r="B7" s="20" t="s">
        <v>37</v>
      </c>
      <c r="C7" s="125">
        <v>81756</v>
      </c>
      <c r="D7" s="125">
        <v>88591</v>
      </c>
      <c r="E7" s="125">
        <v>97857</v>
      </c>
      <c r="F7" s="125">
        <v>108093.4</v>
      </c>
      <c r="G7" s="125">
        <v>119400</v>
      </c>
    </row>
    <row r="8" spans="1:7" ht="12.75">
      <c r="A8" s="21" t="s">
        <v>40</v>
      </c>
      <c r="B8" s="20" t="s">
        <v>37</v>
      </c>
      <c r="C8" s="125">
        <f>C33+11489050.4</f>
        <v>61579700.4</v>
      </c>
      <c r="D8" s="125">
        <f>D33+13124858</f>
        <v>69306989</v>
      </c>
      <c r="E8" s="125">
        <f>E33+12305591</f>
        <v>74338625</v>
      </c>
      <c r="F8" s="125">
        <f>F33+13055808.4</f>
        <v>80547651.80000001</v>
      </c>
      <c r="G8" s="125">
        <f>G33+14632511</f>
        <v>87198104.4</v>
      </c>
    </row>
    <row r="9" spans="1:7" ht="12.75">
      <c r="A9" s="21" t="s">
        <v>138</v>
      </c>
      <c r="B9" s="20" t="s">
        <v>37</v>
      </c>
      <c r="C9" s="125">
        <f>C34+665255.4</f>
        <v>2786193.4</v>
      </c>
      <c r="D9" s="125">
        <f>D34+715068</f>
        <v>2928636</v>
      </c>
      <c r="E9" s="125">
        <f>E34+745101</f>
        <v>3059017</v>
      </c>
      <c r="F9" s="125">
        <f>F34+774905</f>
        <v>3193826.3</v>
      </c>
      <c r="G9" s="125">
        <f>G34+805902</f>
        <v>3335829.3</v>
      </c>
    </row>
    <row r="10" spans="1:7" ht="25.5">
      <c r="A10" s="21" t="s">
        <v>139</v>
      </c>
      <c r="B10" s="20" t="s">
        <v>37</v>
      </c>
      <c r="C10" s="125">
        <f>C35+472861</f>
        <v>958996</v>
      </c>
      <c r="D10" s="125">
        <f>D35+507016</f>
        <v>973173</v>
      </c>
      <c r="E10" s="125">
        <f>E35+543637</f>
        <v>976258</v>
      </c>
      <c r="F10" s="125">
        <f>F35+582344</f>
        <v>1032875</v>
      </c>
      <c r="G10" s="125">
        <f>G35+623807</f>
        <v>1099941</v>
      </c>
    </row>
    <row r="11" spans="1:7" ht="25.5">
      <c r="A11" s="22" t="s">
        <v>122</v>
      </c>
      <c r="B11" s="20" t="s">
        <v>11</v>
      </c>
      <c r="C11" s="126">
        <f>(C30*C36+C17*C18)/C5</f>
        <v>102.10722481637487</v>
      </c>
      <c r="D11" s="126">
        <f>(D30*D36+D17*D18)/D5</f>
        <v>102.04448255791213</v>
      </c>
      <c r="E11" s="126">
        <f>(E30*E36+E17*E18)/E5</f>
        <v>100.88977588911385</v>
      </c>
      <c r="F11" s="126">
        <f>(F30*F36+F17*F18)/F5</f>
        <v>102.2850677975381</v>
      </c>
      <c r="G11" s="126">
        <f>(G30*G36+G17*G18)/G5</f>
        <v>102.34870467796394</v>
      </c>
    </row>
    <row r="12" spans="1:7" ht="12.75">
      <c r="A12" s="67" t="s">
        <v>38</v>
      </c>
      <c r="B12" s="20"/>
      <c r="C12" s="127"/>
      <c r="D12" s="127"/>
      <c r="E12" s="127"/>
      <c r="F12" s="127"/>
      <c r="G12" s="127"/>
    </row>
    <row r="13" spans="1:7" ht="12.75">
      <c r="A13" s="21" t="s">
        <v>39</v>
      </c>
      <c r="B13" s="20" t="s">
        <v>11</v>
      </c>
      <c r="C13" s="126">
        <v>52.12</v>
      </c>
      <c r="D13" s="126">
        <v>105</v>
      </c>
      <c r="E13" s="126">
        <v>105</v>
      </c>
      <c r="F13" s="126">
        <v>105</v>
      </c>
      <c r="G13" s="126">
        <v>105</v>
      </c>
    </row>
    <row r="14" spans="1:7" ht="12.75">
      <c r="A14" s="21" t="s">
        <v>40</v>
      </c>
      <c r="B14" s="20" t="s">
        <v>11</v>
      </c>
      <c r="C14" s="126">
        <v>101.229</v>
      </c>
      <c r="D14" s="126">
        <v>102.088</v>
      </c>
      <c r="E14" s="126">
        <v>100.846</v>
      </c>
      <c r="F14" s="126">
        <v>102.371</v>
      </c>
      <c r="G14" s="126">
        <v>102.307</v>
      </c>
    </row>
    <row r="15" spans="1:7" ht="12.75">
      <c r="A15" s="21" t="s">
        <v>138</v>
      </c>
      <c r="B15" s="20" t="s">
        <v>11</v>
      </c>
      <c r="C15" s="126">
        <v>117.05</v>
      </c>
      <c r="D15" s="126">
        <v>101.755</v>
      </c>
      <c r="E15" s="126">
        <v>100.242</v>
      </c>
      <c r="F15" s="126">
        <v>100.391</v>
      </c>
      <c r="G15" s="126">
        <v>100.429</v>
      </c>
    </row>
    <row r="16" spans="1:7" ht="25.5">
      <c r="A16" s="21" t="s">
        <v>139</v>
      </c>
      <c r="B16" s="20" t="s">
        <v>11</v>
      </c>
      <c r="C16" s="126">
        <v>126.826</v>
      </c>
      <c r="D16" s="126">
        <v>97.482</v>
      </c>
      <c r="E16" s="126">
        <v>96.366</v>
      </c>
      <c r="F16" s="126">
        <v>101.73</v>
      </c>
      <c r="G16" s="126">
        <v>102.397</v>
      </c>
    </row>
    <row r="17" spans="1:7" ht="12.75">
      <c r="A17" s="128" t="s">
        <v>41</v>
      </c>
      <c r="B17" s="20" t="s">
        <v>37</v>
      </c>
      <c r="C17" s="125">
        <f>C5-C30</f>
        <v>12708922.799999997</v>
      </c>
      <c r="D17" s="125">
        <f>D5-D30</f>
        <v>14435533</v>
      </c>
      <c r="E17" s="125">
        <f>E5-E30</f>
        <v>13692186</v>
      </c>
      <c r="F17" s="125">
        <f>F5-F30+0.5</f>
        <v>14521151.300000012</v>
      </c>
      <c r="G17" s="125">
        <f>G5-G30</f>
        <v>16181620</v>
      </c>
    </row>
    <row r="18" spans="1:7" ht="12.75">
      <c r="A18" s="22" t="s">
        <v>42</v>
      </c>
      <c r="B18" s="20" t="s">
        <v>11</v>
      </c>
      <c r="C18" s="126">
        <v>117.217</v>
      </c>
      <c r="D18" s="126">
        <v>104.472</v>
      </c>
      <c r="E18" s="126">
        <v>88.829</v>
      </c>
      <c r="F18" s="126">
        <v>100.741</v>
      </c>
      <c r="G18" s="126">
        <v>106.28</v>
      </c>
    </row>
    <row r="19" spans="1:7" ht="14.25">
      <c r="A19" s="181" t="s">
        <v>43</v>
      </c>
      <c r="B19" s="181"/>
      <c r="C19" s="181"/>
      <c r="D19" s="181"/>
      <c r="E19" s="181"/>
      <c r="F19" s="181"/>
      <c r="G19" s="181"/>
    </row>
    <row r="20" spans="1:7" ht="25.5">
      <c r="A20" s="24" t="s">
        <v>44</v>
      </c>
      <c r="B20" s="25" t="s">
        <v>37</v>
      </c>
      <c r="C20" s="19">
        <v>82173223</v>
      </c>
      <c r="D20" s="19">
        <v>87192884</v>
      </c>
      <c r="E20" s="19">
        <v>93517327</v>
      </c>
      <c r="F20" s="19">
        <v>100521502</v>
      </c>
      <c r="G20" s="19">
        <v>108697405</v>
      </c>
    </row>
    <row r="21" spans="1:7" ht="12.75">
      <c r="A21" s="24" t="s">
        <v>45</v>
      </c>
      <c r="B21" s="25" t="s">
        <v>37</v>
      </c>
      <c r="C21" s="19">
        <v>3900645</v>
      </c>
      <c r="D21" s="19">
        <v>3471431</v>
      </c>
      <c r="E21" s="19">
        <v>3677400</v>
      </c>
      <c r="F21" s="19">
        <v>3969511</v>
      </c>
      <c r="G21" s="19">
        <v>4289424</v>
      </c>
    </row>
    <row r="22" spans="1:7" ht="15">
      <c r="A22" s="26"/>
      <c r="B22" s="27"/>
      <c r="C22" s="28"/>
      <c r="D22" s="27"/>
      <c r="E22" s="182"/>
      <c r="F22" s="182"/>
      <c r="G22" s="87"/>
    </row>
    <row r="23" spans="1:7" ht="15">
      <c r="A23" s="26"/>
      <c r="B23" s="27"/>
      <c r="C23" s="88"/>
      <c r="D23" s="89"/>
      <c r="E23" s="89"/>
      <c r="F23" s="89"/>
      <c r="G23" s="89"/>
    </row>
    <row r="24" spans="1:4" ht="15">
      <c r="A24" s="183"/>
      <c r="B24" s="183"/>
      <c r="C24" s="183"/>
      <c r="D24" s="183"/>
    </row>
    <row r="25" spans="1:7" ht="15">
      <c r="A25" s="184" t="s">
        <v>34</v>
      </c>
      <c r="B25" s="184" t="s">
        <v>35</v>
      </c>
      <c r="C25" s="185" t="s">
        <v>47</v>
      </c>
      <c r="D25" s="185"/>
      <c r="E25" s="185"/>
      <c r="F25" s="185"/>
      <c r="G25" s="185"/>
    </row>
    <row r="26" spans="1:7" ht="12.75">
      <c r="A26" s="184"/>
      <c r="B26" s="184"/>
      <c r="C26" s="184" t="s">
        <v>155</v>
      </c>
      <c r="D26" s="184" t="s">
        <v>156</v>
      </c>
      <c r="E26" s="184" t="s">
        <v>120</v>
      </c>
      <c r="F26" s="184" t="s">
        <v>137</v>
      </c>
      <c r="G26" s="184" t="s">
        <v>157</v>
      </c>
    </row>
    <row r="27" spans="1:7" ht="12.75">
      <c r="A27" s="184"/>
      <c r="B27" s="184"/>
      <c r="C27" s="184"/>
      <c r="D27" s="184"/>
      <c r="E27" s="184"/>
      <c r="F27" s="184"/>
      <c r="G27" s="184"/>
    </row>
    <row r="28" spans="1:7" ht="29.25" customHeight="1">
      <c r="A28" s="179" t="s">
        <v>7</v>
      </c>
      <c r="B28" s="179"/>
      <c r="C28" s="179"/>
      <c r="D28" s="179"/>
      <c r="E28" s="179"/>
      <c r="F28" s="179"/>
      <c r="G28" s="179"/>
    </row>
    <row r="29" spans="1:7" ht="12.75">
      <c r="A29" s="129" t="s">
        <v>48</v>
      </c>
      <c r="B29" s="29" t="s">
        <v>33</v>
      </c>
      <c r="C29" s="130">
        <f>36+7+3</f>
        <v>46</v>
      </c>
      <c r="D29" s="130">
        <f>C29+9-3</f>
        <v>52</v>
      </c>
      <c r="E29" s="130">
        <f>D29+1</f>
        <v>53</v>
      </c>
      <c r="F29" s="130">
        <f>E29+1</f>
        <v>54</v>
      </c>
      <c r="G29" s="130">
        <f>F29</f>
        <v>54</v>
      </c>
    </row>
    <row r="30" spans="1:7" ht="25.5">
      <c r="A30" s="122" t="s">
        <v>121</v>
      </c>
      <c r="B30" s="131" t="s">
        <v>37</v>
      </c>
      <c r="C30" s="132">
        <f>SUM(C33:C35)</f>
        <v>52697723</v>
      </c>
      <c r="D30" s="132">
        <f>SUM(D33:D35)</f>
        <v>58861856</v>
      </c>
      <c r="E30" s="132">
        <f>SUM(E33:E35)</f>
        <v>64779571</v>
      </c>
      <c r="F30" s="132">
        <f>SUM(F33:F35)</f>
        <v>70361295.7</v>
      </c>
      <c r="G30" s="132">
        <f>SUM(G33:G35)</f>
        <v>75571654.7</v>
      </c>
    </row>
    <row r="31" spans="1:7" ht="12.75">
      <c r="A31" s="133" t="s">
        <v>38</v>
      </c>
      <c r="B31" s="29"/>
      <c r="C31" s="134"/>
      <c r="D31" s="134"/>
      <c r="E31" s="134"/>
      <c r="F31" s="134"/>
      <c r="G31" s="134"/>
    </row>
    <row r="32" spans="1:7" ht="12.75">
      <c r="A32" s="135" t="s">
        <v>39</v>
      </c>
      <c r="B32" s="29" t="s">
        <v>37</v>
      </c>
      <c r="C32" s="136" t="s">
        <v>49</v>
      </c>
      <c r="D32" s="136" t="s">
        <v>49</v>
      </c>
      <c r="E32" s="136" t="s">
        <v>49</v>
      </c>
      <c r="F32" s="136" t="s">
        <v>49</v>
      </c>
      <c r="G32" s="136" t="s">
        <v>49</v>
      </c>
    </row>
    <row r="33" spans="1:7" ht="12.75">
      <c r="A33" s="135" t="s">
        <v>40</v>
      </c>
      <c r="B33" s="29" t="s">
        <v>37</v>
      </c>
      <c r="C33" s="130">
        <v>50090650</v>
      </c>
      <c r="D33" s="130">
        <v>56182131</v>
      </c>
      <c r="E33" s="130">
        <v>62033034</v>
      </c>
      <c r="F33" s="130">
        <v>67491843.4</v>
      </c>
      <c r="G33" s="130">
        <v>72565593.4</v>
      </c>
    </row>
    <row r="34" spans="1:7" ht="12.75">
      <c r="A34" s="135" t="s">
        <v>138</v>
      </c>
      <c r="B34" s="29" t="s">
        <v>37</v>
      </c>
      <c r="C34" s="130">
        <v>2120938</v>
      </c>
      <c r="D34" s="130">
        <v>2213568</v>
      </c>
      <c r="E34" s="130">
        <v>2313916</v>
      </c>
      <c r="F34" s="130">
        <v>2418921.3</v>
      </c>
      <c r="G34" s="130">
        <v>2529927.3</v>
      </c>
    </row>
    <row r="35" spans="1:7" ht="25.5">
      <c r="A35" s="21" t="s">
        <v>139</v>
      </c>
      <c r="B35" s="29" t="s">
        <v>37</v>
      </c>
      <c r="C35" s="130">
        <v>486135</v>
      </c>
      <c r="D35" s="130">
        <v>466157</v>
      </c>
      <c r="E35" s="130">
        <v>432621</v>
      </c>
      <c r="F35" s="130">
        <v>450531</v>
      </c>
      <c r="G35" s="130">
        <v>476134</v>
      </c>
    </row>
    <row r="36" spans="1:7" ht="25.5">
      <c r="A36" s="22" t="s">
        <v>122</v>
      </c>
      <c r="B36" s="29" t="s">
        <v>11</v>
      </c>
      <c r="C36" s="137">
        <f>(C33*98.155+C34*102.846+C35*111.104)/C30</f>
        <v>98.46325396901874</v>
      </c>
      <c r="D36" s="137">
        <f>(D33*101.543+D34*101.033+D35*92.114)/D30</f>
        <v>101.44914781102044</v>
      </c>
      <c r="E36" s="137">
        <f>(E33*103.655+E34*100.32+E35*89.151)/E30</f>
        <v>103.43901146182336</v>
      </c>
      <c r="F36" s="137">
        <f>(F33*102.695+F34*100.517+F35*100.135)/F30</f>
        <v>102.60373149950536</v>
      </c>
      <c r="G36" s="137">
        <f>(G33*101.539+G34*100.566+G35*101.618)/G30</f>
        <v>101.50692441972427</v>
      </c>
    </row>
    <row r="37" spans="1:7" ht="14.25">
      <c r="A37" s="180" t="s">
        <v>43</v>
      </c>
      <c r="B37" s="180"/>
      <c r="C37" s="180"/>
      <c r="D37" s="180"/>
      <c r="E37" s="180"/>
      <c r="F37" s="180"/>
      <c r="G37" s="180"/>
    </row>
    <row r="38" spans="1:7" ht="25.5">
      <c r="A38" s="22" t="s">
        <v>44</v>
      </c>
      <c r="B38" s="32" t="s">
        <v>37</v>
      </c>
      <c r="C38" s="19">
        <v>63440918</v>
      </c>
      <c r="D38" s="19">
        <v>66084922</v>
      </c>
      <c r="E38" s="19">
        <v>73581745</v>
      </c>
      <c r="F38" s="19">
        <v>79401024</v>
      </c>
      <c r="G38" s="19">
        <v>85148449</v>
      </c>
    </row>
    <row r="39" spans="1:7" ht="12.75">
      <c r="A39" s="19" t="s">
        <v>45</v>
      </c>
      <c r="B39" s="32" t="s">
        <v>37</v>
      </c>
      <c r="C39" s="19">
        <v>2545715</v>
      </c>
      <c r="D39" s="19">
        <v>2188327</v>
      </c>
      <c r="E39" s="19">
        <v>2460389</v>
      </c>
      <c r="F39" s="19">
        <v>2783207</v>
      </c>
      <c r="G39" s="19">
        <v>3056797</v>
      </c>
    </row>
  </sheetData>
  <sheetProtection/>
  <mergeCells count="22">
    <mergeCell ref="A1:A3"/>
    <mergeCell ref="B1:B3"/>
    <mergeCell ref="C1:G1"/>
    <mergeCell ref="C2:C3"/>
    <mergeCell ref="D2:D3"/>
    <mergeCell ref="E2:E3"/>
    <mergeCell ref="F2:F3"/>
    <mergeCell ref="G2:G3"/>
    <mergeCell ref="A25:A27"/>
    <mergeCell ref="B25:B27"/>
    <mergeCell ref="D26:D27"/>
    <mergeCell ref="E26:E27"/>
    <mergeCell ref="A28:G28"/>
    <mergeCell ref="A37:G37"/>
    <mergeCell ref="A4:G4"/>
    <mergeCell ref="A19:G19"/>
    <mergeCell ref="E22:F22"/>
    <mergeCell ref="A24:D24"/>
    <mergeCell ref="F26:F27"/>
    <mergeCell ref="G26:G27"/>
    <mergeCell ref="C25:G25"/>
    <mergeCell ref="C26:C27"/>
  </mergeCells>
  <printOptions horizontalCentered="1"/>
  <pageMargins left="0.2362204724409449" right="0.2362204724409449" top="0.54" bottom="0.46" header="0.2755905511811024" footer="0.21"/>
  <pageSetup firstPageNumber="203" useFirstPageNumber="1" fitToHeight="1" fitToWidth="1" horizontalDpi="600" verticalDpi="600" orientation="landscape" paperSize="9" scale="8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52" zoomScaleNormal="52" zoomScaleSheetLayoutView="110" zoomScalePageLayoutView="0" workbookViewId="0" topLeftCell="A1">
      <selection activeCell="K28" sqref="K28"/>
    </sheetView>
  </sheetViews>
  <sheetFormatPr defaultColWidth="9.125" defaultRowHeight="12.75"/>
  <cols>
    <col min="1" max="1" width="51.625" style="90" customWidth="1"/>
    <col min="2" max="2" width="9.00390625" style="90" customWidth="1"/>
    <col min="3" max="3" width="13.25390625" style="90" customWidth="1"/>
    <col min="4" max="4" width="13.625" style="90" customWidth="1"/>
    <col min="5" max="5" width="13.125" style="90" customWidth="1"/>
    <col min="6" max="6" width="13.25390625" style="90" customWidth="1"/>
    <col min="7" max="7" width="14.75390625" style="90" customWidth="1"/>
    <col min="8" max="8" width="10.75390625" style="33" hidden="1" customWidth="1"/>
    <col min="9" max="9" width="9.125" style="33" hidden="1" customWidth="1"/>
    <col min="10" max="16384" width="9.125" style="18" customWidth="1"/>
  </cols>
  <sheetData>
    <row r="1" spans="1:7" ht="12.75">
      <c r="A1" s="188" t="s">
        <v>34</v>
      </c>
      <c r="B1" s="188" t="s">
        <v>35</v>
      </c>
      <c r="C1" s="188" t="s">
        <v>36</v>
      </c>
      <c r="D1" s="188"/>
      <c r="E1" s="188"/>
      <c r="F1" s="188"/>
      <c r="G1" s="188"/>
    </row>
    <row r="2" spans="1:7" ht="12.75" customHeight="1">
      <c r="A2" s="188"/>
      <c r="B2" s="188"/>
      <c r="C2" s="188" t="s">
        <v>158</v>
      </c>
      <c r="D2" s="188" t="s">
        <v>156</v>
      </c>
      <c r="E2" s="188" t="s">
        <v>142</v>
      </c>
      <c r="F2" s="188" t="s">
        <v>159</v>
      </c>
      <c r="G2" s="188" t="s">
        <v>160</v>
      </c>
    </row>
    <row r="3" spans="1:7" ht="12.75">
      <c r="A3" s="188"/>
      <c r="B3" s="188"/>
      <c r="C3" s="188"/>
      <c r="D3" s="188"/>
      <c r="E3" s="188"/>
      <c r="F3" s="188"/>
      <c r="G3" s="188"/>
    </row>
    <row r="4" spans="1:7" ht="24.75" customHeight="1">
      <c r="A4" s="186" t="s">
        <v>92</v>
      </c>
      <c r="B4" s="186"/>
      <c r="C4" s="186"/>
      <c r="D4" s="186"/>
      <c r="E4" s="186"/>
      <c r="F4" s="186"/>
      <c r="G4" s="186"/>
    </row>
    <row r="5" spans="1:7" ht="25.5">
      <c r="A5" s="138" t="s">
        <v>50</v>
      </c>
      <c r="B5" s="139" t="s">
        <v>37</v>
      </c>
      <c r="C5" s="140">
        <v>6463586</v>
      </c>
      <c r="D5" s="140">
        <v>6721647</v>
      </c>
      <c r="E5" s="140">
        <v>6853600</v>
      </c>
      <c r="F5" s="140">
        <v>7024470</v>
      </c>
      <c r="G5" s="140">
        <v>7310000</v>
      </c>
    </row>
    <row r="6" spans="1:7" ht="12.75">
      <c r="A6" s="138" t="s">
        <v>10</v>
      </c>
      <c r="B6" s="139" t="s">
        <v>11</v>
      </c>
      <c r="C6" s="141">
        <f>C5/6042029/1.05*100</f>
        <v>101.88293022883852</v>
      </c>
      <c r="D6" s="141">
        <f>D5/C5/1.02*100</f>
        <v>101.95346669789804</v>
      </c>
      <c r="E6" s="141">
        <f>E5/D5/1.02*100</f>
        <v>99.96382860145006</v>
      </c>
      <c r="F6" s="141">
        <f>F5/E5/1.025*100</f>
        <v>99.99330955139833</v>
      </c>
      <c r="G6" s="141">
        <f>G5/F5/1.02*100</f>
        <v>102.02430456200491</v>
      </c>
    </row>
    <row r="7" spans="1:7" ht="12.75">
      <c r="A7" s="138" t="s">
        <v>51</v>
      </c>
      <c r="B7" s="139" t="s">
        <v>37</v>
      </c>
      <c r="C7" s="140">
        <v>454400</v>
      </c>
      <c r="D7" s="140">
        <v>478100</v>
      </c>
      <c r="E7" s="140">
        <v>569400</v>
      </c>
      <c r="F7" s="140">
        <v>656000</v>
      </c>
      <c r="G7" s="140">
        <v>767500</v>
      </c>
    </row>
    <row r="8" spans="1:7" ht="24.75" customHeight="1">
      <c r="A8" s="186" t="s">
        <v>91</v>
      </c>
      <c r="B8" s="186"/>
      <c r="C8" s="186"/>
      <c r="D8" s="186"/>
      <c r="E8" s="186"/>
      <c r="F8" s="186"/>
      <c r="G8" s="186"/>
    </row>
    <row r="9" spans="1:7" ht="25.5">
      <c r="A9" s="138" t="s">
        <v>14</v>
      </c>
      <c r="B9" s="139" t="s">
        <v>37</v>
      </c>
      <c r="C9" s="140">
        <f>C12+C13+C14</f>
        <v>8830900</v>
      </c>
      <c r="D9" s="140">
        <f>D12+D13+D14</f>
        <v>9206828</v>
      </c>
      <c r="E9" s="140">
        <f>E12+E13+E14</f>
        <v>9250600</v>
      </c>
      <c r="F9" s="140">
        <f>F12+F13+F14</f>
        <v>9195000</v>
      </c>
      <c r="G9" s="140">
        <f>G12+G13+G14</f>
        <v>9614900</v>
      </c>
    </row>
    <row r="10" spans="1:7" ht="12.75">
      <c r="A10" s="142" t="s">
        <v>10</v>
      </c>
      <c r="B10" s="139" t="s">
        <v>11</v>
      </c>
      <c r="C10" s="141">
        <f>C9/7909006/1.05*100</f>
        <v>106.33929159215396</v>
      </c>
      <c r="D10" s="141">
        <f>D9/C9/1.02*100</f>
        <v>102.21270720746824</v>
      </c>
      <c r="E10" s="141">
        <f>E9/D9/1.02*100</f>
        <v>98.5053232913063</v>
      </c>
      <c r="F10" s="141">
        <f>F9/E9/1.025*100</f>
        <v>96.97459307847139</v>
      </c>
      <c r="G10" s="141">
        <f>G9/F9/1.02*100</f>
        <v>102.51628655812515</v>
      </c>
    </row>
    <row r="11" spans="1:7" ht="12.75">
      <c r="A11" s="138" t="s">
        <v>52</v>
      </c>
      <c r="B11" s="139"/>
      <c r="C11" s="140"/>
      <c r="D11" s="140"/>
      <c r="E11" s="140"/>
      <c r="F11" s="140"/>
      <c r="G11" s="140"/>
    </row>
    <row r="12" spans="1:7" ht="12.75">
      <c r="A12" s="138" t="s">
        <v>53</v>
      </c>
      <c r="B12" s="139" t="s">
        <v>37</v>
      </c>
      <c r="C12" s="140">
        <v>4762525</v>
      </c>
      <c r="D12" s="140">
        <v>1994753</v>
      </c>
      <c r="E12" s="140">
        <v>1039840</v>
      </c>
      <c r="F12" s="140">
        <v>1982226</v>
      </c>
      <c r="G12" s="140">
        <v>1881382</v>
      </c>
    </row>
    <row r="13" spans="1:7" ht="12.75">
      <c r="A13" s="138" t="s">
        <v>54</v>
      </c>
      <c r="B13" s="139" t="s">
        <v>37</v>
      </c>
      <c r="C13" s="140">
        <v>793788</v>
      </c>
      <c r="D13" s="140">
        <v>1466121</v>
      </c>
      <c r="E13" s="140">
        <v>1913493</v>
      </c>
      <c r="F13" s="140">
        <v>2879719</v>
      </c>
      <c r="G13" s="140">
        <v>1657080</v>
      </c>
    </row>
    <row r="14" spans="1:7" ht="12.75">
      <c r="A14" s="138" t="s">
        <v>55</v>
      </c>
      <c r="B14" s="139" t="s">
        <v>37</v>
      </c>
      <c r="C14" s="140">
        <v>3274587</v>
      </c>
      <c r="D14" s="140">
        <v>5745954</v>
      </c>
      <c r="E14" s="140">
        <v>6297267</v>
      </c>
      <c r="F14" s="140">
        <v>4333055</v>
      </c>
      <c r="G14" s="140">
        <v>6076438</v>
      </c>
    </row>
    <row r="15" spans="1:7" ht="12.75">
      <c r="A15" s="138" t="s">
        <v>141</v>
      </c>
      <c r="B15" s="139" t="s">
        <v>37</v>
      </c>
      <c r="C15" s="140">
        <v>265000</v>
      </c>
      <c r="D15" s="140">
        <v>160000</v>
      </c>
      <c r="E15" s="140">
        <v>116000</v>
      </c>
      <c r="F15" s="140">
        <v>116000</v>
      </c>
      <c r="G15" s="140">
        <v>116000</v>
      </c>
    </row>
    <row r="16" spans="1:7" ht="28.5" customHeight="1">
      <c r="A16" s="187" t="s">
        <v>56</v>
      </c>
      <c r="B16" s="187"/>
      <c r="C16" s="187"/>
      <c r="D16" s="187"/>
      <c r="E16" s="187"/>
      <c r="F16" s="187"/>
      <c r="G16" s="187"/>
    </row>
    <row r="17" spans="1:7" ht="12.75">
      <c r="A17" s="138" t="s">
        <v>57</v>
      </c>
      <c r="B17" s="139" t="s">
        <v>58</v>
      </c>
      <c r="C17" s="140">
        <v>149091</v>
      </c>
      <c r="D17" s="140">
        <v>123000</v>
      </c>
      <c r="E17" s="140">
        <v>95000</v>
      </c>
      <c r="F17" s="140">
        <v>100000</v>
      </c>
      <c r="G17" s="140">
        <v>105000</v>
      </c>
    </row>
    <row r="18" spans="1:7" ht="12.75">
      <c r="A18" s="138" t="s">
        <v>59</v>
      </c>
      <c r="B18" s="139" t="s">
        <v>58</v>
      </c>
      <c r="C18" s="140">
        <v>11512</v>
      </c>
      <c r="D18" s="140">
        <v>11055</v>
      </c>
      <c r="E18" s="140">
        <v>5000</v>
      </c>
      <c r="F18" s="140">
        <v>5000</v>
      </c>
      <c r="G18" s="140">
        <v>5000</v>
      </c>
    </row>
    <row r="19" spans="1:7" ht="25.5">
      <c r="A19" s="138" t="s">
        <v>60</v>
      </c>
      <c r="B19" s="139" t="s">
        <v>61</v>
      </c>
      <c r="C19" s="140">
        <v>105</v>
      </c>
      <c r="D19" s="140">
        <v>140</v>
      </c>
      <c r="E19" s="140">
        <v>320</v>
      </c>
      <c r="F19" s="140">
        <v>645</v>
      </c>
      <c r="G19" s="140"/>
    </row>
    <row r="20" spans="1:7" ht="12.75">
      <c r="A20" s="138" t="s">
        <v>62</v>
      </c>
      <c r="B20" s="139" t="s">
        <v>61</v>
      </c>
      <c r="C20" s="140"/>
      <c r="D20" s="140">
        <v>1100</v>
      </c>
      <c r="E20" s="140">
        <v>1000</v>
      </c>
      <c r="F20" s="140"/>
      <c r="G20" s="140"/>
    </row>
    <row r="21" spans="1:7" ht="12.75">
      <c r="A21" s="138" t="s">
        <v>63</v>
      </c>
      <c r="B21" s="139" t="s">
        <v>61</v>
      </c>
      <c r="C21" s="140"/>
      <c r="D21" s="140"/>
      <c r="E21" s="140"/>
      <c r="F21" s="140"/>
      <c r="G21" s="140"/>
    </row>
    <row r="22" spans="1:7" ht="25.5">
      <c r="A22" s="138" t="s">
        <v>64</v>
      </c>
      <c r="B22" s="139" t="s">
        <v>61</v>
      </c>
      <c r="C22" s="140"/>
      <c r="D22" s="140"/>
      <c r="E22" s="140"/>
      <c r="F22" s="140"/>
      <c r="G22" s="140"/>
    </row>
    <row r="25" spans="1:7" ht="12.75">
      <c r="A25" s="188" t="s">
        <v>34</v>
      </c>
      <c r="B25" s="188" t="s">
        <v>35</v>
      </c>
      <c r="C25" s="188" t="s">
        <v>47</v>
      </c>
      <c r="D25" s="188"/>
      <c r="E25" s="188"/>
      <c r="F25" s="188"/>
      <c r="G25" s="188"/>
    </row>
    <row r="26" spans="1:7" ht="12.75">
      <c r="A26" s="188"/>
      <c r="B26" s="188"/>
      <c r="C26" s="188" t="s">
        <v>158</v>
      </c>
      <c r="D26" s="188" t="s">
        <v>156</v>
      </c>
      <c r="E26" s="188" t="s">
        <v>142</v>
      </c>
      <c r="F26" s="188" t="s">
        <v>159</v>
      </c>
      <c r="G26" s="188" t="s">
        <v>160</v>
      </c>
    </row>
    <row r="27" spans="1:7" ht="12.75">
      <c r="A27" s="188"/>
      <c r="B27" s="188"/>
      <c r="C27" s="188"/>
      <c r="D27" s="188"/>
      <c r="E27" s="188"/>
      <c r="F27" s="188"/>
      <c r="G27" s="188"/>
    </row>
    <row r="28" spans="1:7" ht="24.75" customHeight="1">
      <c r="A28" s="186" t="s">
        <v>92</v>
      </c>
      <c r="B28" s="186"/>
      <c r="C28" s="186"/>
      <c r="D28" s="186"/>
      <c r="E28" s="186"/>
      <c r="F28" s="186"/>
      <c r="G28" s="186"/>
    </row>
    <row r="29" spans="1:7" ht="25.5">
      <c r="A29" s="138" t="s">
        <v>50</v>
      </c>
      <c r="B29" s="139" t="s">
        <v>37</v>
      </c>
      <c r="C29" s="140">
        <v>388035</v>
      </c>
      <c r="D29" s="140">
        <v>545000</v>
      </c>
      <c r="E29" s="140">
        <v>650000</v>
      </c>
      <c r="F29" s="140">
        <v>750000</v>
      </c>
      <c r="G29" s="140">
        <v>850000</v>
      </c>
    </row>
    <row r="30" spans="1:7" ht="12.75">
      <c r="A30" s="142" t="s">
        <v>10</v>
      </c>
      <c r="B30" s="139" t="s">
        <v>11</v>
      </c>
      <c r="C30" s="141">
        <f>C29/433568/1.05*100</f>
        <v>85.23625886992187</v>
      </c>
      <c r="D30" s="141">
        <f>D29/C29/1.02*100</f>
        <v>137.6973019161148</v>
      </c>
      <c r="E30" s="141">
        <f>E29/D29/1.02*100</f>
        <v>116.92750494693288</v>
      </c>
      <c r="F30" s="141">
        <f>F29/E29/1.025*100</f>
        <v>112.5703564727955</v>
      </c>
      <c r="G30" s="141">
        <f>G29/F29/1.02*100</f>
        <v>111.11111111111111</v>
      </c>
    </row>
    <row r="31" spans="1:7" ht="12.75">
      <c r="A31" s="138" t="s">
        <v>51</v>
      </c>
      <c r="B31" s="139" t="s">
        <v>37</v>
      </c>
      <c r="C31" s="140">
        <v>277212</v>
      </c>
      <c r="D31" s="140">
        <v>300000</v>
      </c>
      <c r="E31" s="140">
        <v>380000</v>
      </c>
      <c r="F31" s="140">
        <v>450000</v>
      </c>
      <c r="G31" s="140">
        <v>550000</v>
      </c>
    </row>
    <row r="32" spans="1:7" ht="24.75" customHeight="1">
      <c r="A32" s="186" t="s">
        <v>14</v>
      </c>
      <c r="B32" s="186"/>
      <c r="C32" s="186"/>
      <c r="D32" s="186"/>
      <c r="E32" s="186"/>
      <c r="F32" s="186"/>
      <c r="G32" s="186"/>
    </row>
    <row r="33" spans="1:7" ht="25.5">
      <c r="A33" s="138" t="s">
        <v>14</v>
      </c>
      <c r="B33" s="139" t="s">
        <v>37</v>
      </c>
      <c r="C33" s="140">
        <f>C35+C36+C37</f>
        <v>7893626</v>
      </c>
      <c r="D33" s="140">
        <f>D35+D36+D37</f>
        <v>5912602</v>
      </c>
      <c r="E33" s="140">
        <f>E35+E36+E37</f>
        <v>4846916</v>
      </c>
      <c r="F33" s="140">
        <f>F35+F36+F37</f>
        <v>6078380</v>
      </c>
      <c r="G33" s="140">
        <f>G35+G36+G37</f>
        <v>4157276</v>
      </c>
    </row>
    <row r="34" spans="1:7" ht="12.75">
      <c r="A34" s="142" t="s">
        <v>10</v>
      </c>
      <c r="B34" s="139" t="s">
        <v>11</v>
      </c>
      <c r="C34" s="141">
        <f>C33/6084629/1.05*100</f>
        <v>123.5529569283361</v>
      </c>
      <c r="D34" s="141">
        <f>D33/C33/1.02*100</f>
        <v>73.43480204725915</v>
      </c>
      <c r="E34" s="141">
        <f>E33/D33/1.02*100</f>
        <v>80.36865040759633</v>
      </c>
      <c r="F34" s="141">
        <f>F33/E33/1.025*100</f>
        <v>122.34845475490586</v>
      </c>
      <c r="G34" s="141">
        <f>G33/F33/1.02*100</f>
        <v>67.05340541910387</v>
      </c>
    </row>
    <row r="35" spans="1:7" ht="12.75">
      <c r="A35" s="138" t="s">
        <v>53</v>
      </c>
      <c r="B35" s="139" t="s">
        <v>37</v>
      </c>
      <c r="C35" s="140">
        <v>4644063</v>
      </c>
      <c r="D35" s="140">
        <v>1828227</v>
      </c>
      <c r="E35" s="140">
        <v>895350</v>
      </c>
      <c r="F35" s="140">
        <v>1428606</v>
      </c>
      <c r="G35" s="140">
        <v>1276758</v>
      </c>
    </row>
    <row r="36" spans="1:7" ht="12.75">
      <c r="A36" s="138" t="s">
        <v>54</v>
      </c>
      <c r="B36" s="139" t="s">
        <v>37</v>
      </c>
      <c r="C36" s="140">
        <v>793788</v>
      </c>
      <c r="D36" s="140">
        <v>1466121</v>
      </c>
      <c r="E36" s="140">
        <v>1913493</v>
      </c>
      <c r="F36" s="140">
        <v>2879719</v>
      </c>
      <c r="G36" s="140">
        <v>1657080</v>
      </c>
    </row>
    <row r="37" spans="1:7" ht="12.75">
      <c r="A37" s="138" t="s">
        <v>55</v>
      </c>
      <c r="B37" s="139" t="s">
        <v>37</v>
      </c>
      <c r="C37" s="140">
        <v>2455775</v>
      </c>
      <c r="D37" s="140">
        <v>2618254</v>
      </c>
      <c r="E37" s="140">
        <v>2038073</v>
      </c>
      <c r="F37" s="140">
        <v>1770055</v>
      </c>
      <c r="G37" s="140">
        <v>1223438</v>
      </c>
    </row>
  </sheetData>
  <sheetProtection/>
  <mergeCells count="21">
    <mergeCell ref="A1:A3"/>
    <mergeCell ref="B1:B3"/>
    <mergeCell ref="C1:G1"/>
    <mergeCell ref="C2:C3"/>
    <mergeCell ref="D2:D3"/>
    <mergeCell ref="G2:G3"/>
    <mergeCell ref="F2:F3"/>
    <mergeCell ref="G26:G27"/>
    <mergeCell ref="E2:E3"/>
    <mergeCell ref="C25:G25"/>
    <mergeCell ref="D26:D27"/>
    <mergeCell ref="E26:E27"/>
    <mergeCell ref="F26:F27"/>
    <mergeCell ref="A28:G28"/>
    <mergeCell ref="A32:G32"/>
    <mergeCell ref="A4:G4"/>
    <mergeCell ref="A8:G8"/>
    <mergeCell ref="A16:G16"/>
    <mergeCell ref="A25:A27"/>
    <mergeCell ref="B25:B27"/>
    <mergeCell ref="C26:C27"/>
  </mergeCells>
  <printOptions horizontalCentered="1"/>
  <pageMargins left="0.8267716535433072" right="0.2362204724409449" top="0.48" bottom="0.43" header="0.2755905511811024" footer="0.24"/>
  <pageSetup firstPageNumber="204" useFirstPageNumber="1" fitToHeight="1" fitToWidth="1" horizontalDpi="600" verticalDpi="600" orientation="landscape" paperSize="9" scale="8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="78" zoomScaleNormal="78" zoomScaleSheetLayoutView="100" workbookViewId="0" topLeftCell="A1">
      <selection activeCell="J13" sqref="J13"/>
    </sheetView>
  </sheetViews>
  <sheetFormatPr defaultColWidth="9.125" defaultRowHeight="12.75"/>
  <cols>
    <col min="1" max="1" width="35.875" style="18" customWidth="1"/>
    <col min="2" max="2" width="9.00390625" style="18" customWidth="1"/>
    <col min="3" max="7" width="13.00390625" style="18" customWidth="1"/>
    <col min="8" max="8" width="14.75390625" style="18" customWidth="1"/>
    <col min="9" max="16384" width="9.125" style="18" customWidth="1"/>
  </cols>
  <sheetData>
    <row r="1" spans="1:7" ht="27.75" customHeight="1">
      <c r="A1" s="184" t="s">
        <v>34</v>
      </c>
      <c r="B1" s="184" t="s">
        <v>35</v>
      </c>
      <c r="C1" s="192" t="s">
        <v>36</v>
      </c>
      <c r="D1" s="193"/>
      <c r="E1" s="193"/>
      <c r="F1" s="193"/>
      <c r="G1" s="194"/>
    </row>
    <row r="2" spans="1:7" ht="18.75" customHeight="1">
      <c r="A2" s="184"/>
      <c r="B2" s="184"/>
      <c r="C2" s="195" t="s">
        <v>161</v>
      </c>
      <c r="D2" s="184" t="s">
        <v>156</v>
      </c>
      <c r="E2" s="184" t="s">
        <v>124</v>
      </c>
      <c r="F2" s="184" t="s">
        <v>162</v>
      </c>
      <c r="G2" s="184" t="s">
        <v>163</v>
      </c>
    </row>
    <row r="3" spans="1:7" ht="18.75" customHeight="1">
      <c r="A3" s="184"/>
      <c r="B3" s="184"/>
      <c r="C3" s="196"/>
      <c r="D3" s="184"/>
      <c r="E3" s="184"/>
      <c r="F3" s="184"/>
      <c r="G3" s="184"/>
    </row>
    <row r="4" spans="1:7" ht="32.25" customHeight="1">
      <c r="A4" s="189" t="s">
        <v>15</v>
      </c>
      <c r="B4" s="190"/>
      <c r="C4" s="190"/>
      <c r="D4" s="190"/>
      <c r="E4" s="190"/>
      <c r="F4" s="190"/>
      <c r="G4" s="191"/>
    </row>
    <row r="5" spans="1:7" ht="30.75" customHeight="1">
      <c r="A5" s="34" t="s">
        <v>16</v>
      </c>
      <c r="B5" s="58" t="s">
        <v>17</v>
      </c>
      <c r="C5" s="35">
        <v>118.151</v>
      </c>
      <c r="D5" s="35">
        <v>117</v>
      </c>
      <c r="E5" s="35">
        <v>118.35</v>
      </c>
      <c r="F5" s="35">
        <v>119.69999999999999</v>
      </c>
      <c r="G5" s="35">
        <v>121.04999999999998</v>
      </c>
    </row>
    <row r="6" spans="1:7" ht="30.75" customHeight="1">
      <c r="A6" s="36" t="s">
        <v>65</v>
      </c>
      <c r="B6" s="58" t="s">
        <v>17</v>
      </c>
      <c r="C6" s="35">
        <v>23.532799999999998</v>
      </c>
      <c r="D6" s="35">
        <v>23.991799999999998</v>
      </c>
      <c r="E6" s="35">
        <v>24.421799999999998</v>
      </c>
      <c r="F6" s="35">
        <v>24.841799999999996</v>
      </c>
      <c r="G6" s="35">
        <v>25.221799999999995</v>
      </c>
    </row>
    <row r="7" spans="1:7" ht="30.75" customHeight="1">
      <c r="A7" s="31" t="s">
        <v>66</v>
      </c>
      <c r="B7" s="37" t="s">
        <v>17</v>
      </c>
      <c r="C7" s="35">
        <v>48.1</v>
      </c>
      <c r="D7" s="35">
        <v>48.25</v>
      </c>
      <c r="E7" s="35">
        <v>48.45</v>
      </c>
      <c r="F7" s="35">
        <v>48.650000000000006</v>
      </c>
      <c r="G7" s="35">
        <v>48.85000000000001</v>
      </c>
    </row>
    <row r="8" spans="1:7" ht="32.25" customHeight="1">
      <c r="A8" s="189" t="s">
        <v>19</v>
      </c>
      <c r="B8" s="190"/>
      <c r="C8" s="190"/>
      <c r="D8" s="190"/>
      <c r="E8" s="190"/>
      <c r="F8" s="190"/>
      <c r="G8" s="191"/>
    </row>
    <row r="9" spans="1:7" ht="30.75" customHeight="1">
      <c r="A9" s="30" t="s">
        <v>123</v>
      </c>
      <c r="B9" s="37" t="s">
        <v>37</v>
      </c>
      <c r="C9" s="38">
        <f>615271.88735/0.2/0.12764</f>
        <v>24101844.53737073</v>
      </c>
      <c r="D9" s="38">
        <v>25840165</v>
      </c>
      <c r="E9" s="38">
        <v>27675984</v>
      </c>
      <c r="F9" s="38">
        <v>29917965</v>
      </c>
      <c r="G9" s="38">
        <v>32360331</v>
      </c>
    </row>
    <row r="10" spans="1:7" ht="30.75" customHeight="1">
      <c r="A10" s="39" t="s">
        <v>67</v>
      </c>
      <c r="B10" s="37" t="s">
        <v>68</v>
      </c>
      <c r="C10" s="38">
        <f>C9/C7/12</f>
        <v>41756.48741748221</v>
      </c>
      <c r="D10" s="38">
        <f>D9/D7/12</f>
        <v>44628.95509499137</v>
      </c>
      <c r="E10" s="38">
        <f>E9/E7/12</f>
        <v>47602.311661506705</v>
      </c>
      <c r="F10" s="38">
        <f>F9/F7/12</f>
        <v>51246.94244604316</v>
      </c>
      <c r="G10" s="38">
        <f>G9/G7/12</f>
        <v>55203.567041965194</v>
      </c>
    </row>
  </sheetData>
  <sheetProtection/>
  <mergeCells count="10">
    <mergeCell ref="A4:G4"/>
    <mergeCell ref="A8:G8"/>
    <mergeCell ref="A1:A3"/>
    <mergeCell ref="B1:B3"/>
    <mergeCell ref="C1:G1"/>
    <mergeCell ref="C2:C3"/>
    <mergeCell ref="D2:D3"/>
    <mergeCell ref="E2:E3"/>
    <mergeCell ref="F2:F3"/>
    <mergeCell ref="G2:G3"/>
  </mergeCells>
  <printOptions horizontalCentered="1"/>
  <pageMargins left="0.8267716535433072" right="0.4330708661417323" top="1.299212598425197" bottom="0.8661417322834646" header="0.2755905511811024" footer="0.1968503937007874"/>
  <pageSetup firstPageNumber="205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="76" zoomScaleNormal="76" zoomScaleSheetLayoutView="100" zoomScalePageLayoutView="0" workbookViewId="0" topLeftCell="A1">
      <selection activeCell="H25" sqref="H25"/>
    </sheetView>
  </sheetViews>
  <sheetFormatPr defaultColWidth="9.125" defaultRowHeight="12.75"/>
  <cols>
    <col min="1" max="1" width="64.00390625" style="0" customWidth="1"/>
    <col min="2" max="2" width="10.00390625" style="0" bestFit="1" customWidth="1"/>
    <col min="3" max="6" width="12.00390625" style="0" customWidth="1"/>
    <col min="7" max="7" width="13.75390625" style="0" customWidth="1"/>
    <col min="8" max="8" width="7.00390625" style="0" customWidth="1"/>
    <col min="9" max="9" width="9.625" style="50" customWidth="1"/>
    <col min="10" max="13" width="9.125" style="50" customWidth="1"/>
    <col min="14" max="16384" width="9.125" style="41" customWidth="1"/>
  </cols>
  <sheetData>
    <row r="1" spans="1:7" ht="21.75" customHeight="1">
      <c r="A1" s="200" t="s">
        <v>69</v>
      </c>
      <c r="B1" s="201" t="s">
        <v>70</v>
      </c>
      <c r="C1" s="40" t="s">
        <v>116</v>
      </c>
      <c r="D1" s="40" t="s">
        <v>118</v>
      </c>
      <c r="E1" s="40" t="s">
        <v>125</v>
      </c>
      <c r="F1" s="40" t="s">
        <v>136</v>
      </c>
      <c r="G1" s="40" t="s">
        <v>154</v>
      </c>
    </row>
    <row r="2" spans="1:7" ht="23.25" customHeight="1">
      <c r="A2" s="200"/>
      <c r="B2" s="201"/>
      <c r="C2" s="40" t="s">
        <v>4</v>
      </c>
      <c r="D2" s="40" t="s">
        <v>5</v>
      </c>
      <c r="E2" s="202" t="s">
        <v>6</v>
      </c>
      <c r="F2" s="203"/>
      <c r="G2" s="204"/>
    </row>
    <row r="3" spans="1:7" ht="31.5" customHeight="1">
      <c r="A3" s="197" t="s">
        <v>24</v>
      </c>
      <c r="B3" s="198"/>
      <c r="C3" s="198"/>
      <c r="D3" s="198"/>
      <c r="E3" s="198"/>
      <c r="F3" s="198"/>
      <c r="G3" s="199"/>
    </row>
    <row r="4" spans="1:7" ht="30">
      <c r="A4" s="68" t="s">
        <v>143</v>
      </c>
      <c r="B4" s="42" t="s">
        <v>33</v>
      </c>
      <c r="C4" s="143">
        <v>3097</v>
      </c>
      <c r="D4" s="46">
        <f>C4+103</f>
        <v>3200</v>
      </c>
      <c r="E4" s="46">
        <f>D4+60</f>
        <v>3260</v>
      </c>
      <c r="F4" s="46">
        <f>E4+60</f>
        <v>3320</v>
      </c>
      <c r="G4" s="46">
        <f>F4+60</f>
        <v>3380</v>
      </c>
    </row>
    <row r="5" spans="1:7" ht="30">
      <c r="A5" s="68" t="s">
        <v>71</v>
      </c>
      <c r="B5" s="42" t="s">
        <v>72</v>
      </c>
      <c r="C5" s="46">
        <v>19150</v>
      </c>
      <c r="D5" s="46">
        <v>19380</v>
      </c>
      <c r="E5" s="46">
        <v>19500</v>
      </c>
      <c r="F5" s="46">
        <v>19600</v>
      </c>
      <c r="G5" s="46">
        <v>19750</v>
      </c>
    </row>
    <row r="6" spans="1:7" ht="15">
      <c r="A6" s="144" t="s">
        <v>78</v>
      </c>
      <c r="B6" s="43" t="s">
        <v>73</v>
      </c>
      <c r="C6" s="145">
        <f>SUM(C9,C10,C16:C20)</f>
        <v>80425706</v>
      </c>
      <c r="D6" s="145">
        <f>SUM(D9,D10,D16:D20)</f>
        <v>86175916</v>
      </c>
      <c r="E6" s="145">
        <f>SUM(E9,E10,E16:E20)</f>
        <v>88428520</v>
      </c>
      <c r="F6" s="145">
        <f>SUM(F9,F10,F16:F20)</f>
        <v>93778177</v>
      </c>
      <c r="G6" s="145">
        <f>SUM(G9,G10,G16:G20)</f>
        <v>100731171</v>
      </c>
    </row>
    <row r="7" spans="1:7" ht="12.75">
      <c r="A7" s="44" t="s">
        <v>79</v>
      </c>
      <c r="B7" s="43" t="s">
        <v>11</v>
      </c>
      <c r="C7" s="23">
        <v>98.40746612236653</v>
      </c>
      <c r="D7" s="23">
        <v>101.85334271355626</v>
      </c>
      <c r="E7" s="23">
        <v>98.6672692599207</v>
      </c>
      <c r="F7" s="23">
        <v>101.67756127532377</v>
      </c>
      <c r="G7" s="23">
        <v>102.98590463212818</v>
      </c>
    </row>
    <row r="8" spans="1:7" ht="12.75">
      <c r="A8" s="44" t="s">
        <v>74</v>
      </c>
      <c r="B8" s="45"/>
      <c r="C8" s="70"/>
      <c r="D8" s="70"/>
      <c r="E8" s="70"/>
      <c r="F8" s="70"/>
      <c r="G8" s="70"/>
    </row>
    <row r="9" spans="1:7" ht="12.75">
      <c r="A9" s="44" t="s">
        <v>126</v>
      </c>
      <c r="B9" s="43" t="s">
        <v>73</v>
      </c>
      <c r="C9" s="46">
        <v>22489</v>
      </c>
      <c r="D9" s="46">
        <v>23658</v>
      </c>
      <c r="E9" s="46">
        <v>24605</v>
      </c>
      <c r="F9" s="46">
        <v>25663</v>
      </c>
      <c r="G9" s="46">
        <v>26766</v>
      </c>
    </row>
    <row r="10" spans="1:7" ht="12.75">
      <c r="A10" s="44" t="s">
        <v>127</v>
      </c>
      <c r="B10" s="43" t="s">
        <v>73</v>
      </c>
      <c r="C10" s="46">
        <f>SUM(C12:C15)</f>
        <v>18157853</v>
      </c>
      <c r="D10" s="46">
        <f>SUM(D12:D15)</f>
        <v>20451719</v>
      </c>
      <c r="E10" s="46">
        <f>SUM(E12:E15)</f>
        <v>19320302</v>
      </c>
      <c r="F10" s="46">
        <f>SUM(F12:F15)</f>
        <v>20467688</v>
      </c>
      <c r="G10" s="46">
        <f>SUM(G12:G15)</f>
        <v>22817330</v>
      </c>
    </row>
    <row r="11" spans="1:7" ht="12.75">
      <c r="A11" s="44" t="s">
        <v>75</v>
      </c>
      <c r="B11" s="43"/>
      <c r="C11" s="46"/>
      <c r="D11" s="46"/>
      <c r="E11" s="46"/>
      <c r="F11" s="46"/>
      <c r="G11" s="46"/>
    </row>
    <row r="12" spans="1:7" ht="12.75">
      <c r="A12" s="69" t="s">
        <v>128</v>
      </c>
      <c r="B12" s="42" t="s">
        <v>73</v>
      </c>
      <c r="C12" s="46">
        <v>81756</v>
      </c>
      <c r="D12" s="46">
        <v>88591</v>
      </c>
      <c r="E12" s="46">
        <v>97857</v>
      </c>
      <c r="F12" s="46">
        <v>108093</v>
      </c>
      <c r="G12" s="46">
        <v>119400</v>
      </c>
    </row>
    <row r="13" spans="1:7" ht="12.75">
      <c r="A13" s="69" t="s">
        <v>129</v>
      </c>
      <c r="B13" s="42" t="s">
        <v>73</v>
      </c>
      <c r="C13" s="46">
        <v>16659123</v>
      </c>
      <c r="D13" s="46">
        <v>19031044</v>
      </c>
      <c r="E13" s="46">
        <v>17843107</v>
      </c>
      <c r="F13" s="46">
        <v>18930922</v>
      </c>
      <c r="G13" s="46">
        <v>21217141</v>
      </c>
    </row>
    <row r="14" spans="1:7" ht="25.5">
      <c r="A14" s="69" t="s">
        <v>134</v>
      </c>
      <c r="B14" s="42" t="s">
        <v>73</v>
      </c>
      <c r="C14" s="46">
        <v>944113</v>
      </c>
      <c r="D14" s="46">
        <v>825068</v>
      </c>
      <c r="E14" s="46">
        <v>835701</v>
      </c>
      <c r="F14" s="46">
        <v>846329</v>
      </c>
      <c r="G14" s="46">
        <v>856982</v>
      </c>
    </row>
    <row r="15" spans="1:7" ht="25.5">
      <c r="A15" s="69" t="s">
        <v>130</v>
      </c>
      <c r="B15" s="42" t="s">
        <v>73</v>
      </c>
      <c r="C15" s="46">
        <v>472861</v>
      </c>
      <c r="D15" s="46">
        <v>507016</v>
      </c>
      <c r="E15" s="46">
        <v>543637</v>
      </c>
      <c r="F15" s="46">
        <v>582344</v>
      </c>
      <c r="G15" s="46">
        <v>623807</v>
      </c>
    </row>
    <row r="16" spans="1:7" ht="12.75">
      <c r="A16" s="44" t="s">
        <v>76</v>
      </c>
      <c r="B16" s="43" t="s">
        <v>73</v>
      </c>
      <c r="C16" s="46">
        <v>8505771</v>
      </c>
      <c r="D16" s="46">
        <v>8647306</v>
      </c>
      <c r="E16" s="46">
        <v>8685040</v>
      </c>
      <c r="F16" s="46">
        <v>8784258</v>
      </c>
      <c r="G16" s="46">
        <v>9044000</v>
      </c>
    </row>
    <row r="17" spans="1:7" ht="14.25">
      <c r="A17" s="44" t="s">
        <v>131</v>
      </c>
      <c r="B17" s="43" t="s">
        <v>73</v>
      </c>
      <c r="C17" s="145">
        <f>37137840-1500000</f>
        <v>35637840</v>
      </c>
      <c r="D17" s="145">
        <f>39654802-1600000</f>
        <v>38054802</v>
      </c>
      <c r="E17" s="145">
        <f>41915072-1700000</f>
        <v>40215072</v>
      </c>
      <c r="F17" s="145">
        <f>44759616-1800000</f>
        <v>42959616</v>
      </c>
      <c r="G17" s="145">
        <f>47749608-1900000</f>
        <v>45849608</v>
      </c>
    </row>
    <row r="18" spans="1:7" ht="12.75">
      <c r="A18" s="44" t="s">
        <v>132</v>
      </c>
      <c r="B18" s="43" t="s">
        <v>73</v>
      </c>
      <c r="C18" s="46">
        <v>716592</v>
      </c>
      <c r="D18" s="46">
        <v>757624</v>
      </c>
      <c r="E18" s="46">
        <v>797339</v>
      </c>
      <c r="F18" s="46">
        <v>845717</v>
      </c>
      <c r="G18" s="46">
        <v>897031</v>
      </c>
    </row>
    <row r="19" spans="1:7" ht="12.75">
      <c r="A19" s="44" t="s">
        <v>133</v>
      </c>
      <c r="B19" s="43" t="s">
        <v>73</v>
      </c>
      <c r="C19" s="46">
        <v>4206956</v>
      </c>
      <c r="D19" s="46">
        <v>4252846</v>
      </c>
      <c r="E19" s="46">
        <v>4475780</v>
      </c>
      <c r="F19" s="46">
        <v>4747348</v>
      </c>
      <c r="G19" s="46">
        <v>5035393</v>
      </c>
    </row>
    <row r="20" spans="1:7" ht="12.75">
      <c r="A20" s="44" t="s">
        <v>77</v>
      </c>
      <c r="B20" s="43" t="s">
        <v>73</v>
      </c>
      <c r="C20" s="46">
        <f>(81925706-1500000)-SUM(C9,C10,C16:C19)</f>
        <v>13178205</v>
      </c>
      <c r="D20" s="46">
        <f>(87775916-1600000)-SUM(D9,D10,D16:D19)</f>
        <v>13987961</v>
      </c>
      <c r="E20" s="46">
        <f>(90128520-1700000)-SUM(E9,E10,E16:E19)</f>
        <v>14910382</v>
      </c>
      <c r="F20" s="46">
        <f>(95578177-1800000)-SUM(F9,F10,F16:F19)</f>
        <v>15947887</v>
      </c>
      <c r="G20" s="46">
        <f>(102631171-1900000)-SUM(G9,G10,G16:G19)</f>
        <v>17061043</v>
      </c>
    </row>
    <row r="21" spans="1:7" ht="15">
      <c r="A21" s="68" t="s">
        <v>80</v>
      </c>
      <c r="B21" s="42" t="s">
        <v>73</v>
      </c>
      <c r="C21" s="46">
        <v>937274</v>
      </c>
      <c r="D21" s="46">
        <v>3309226</v>
      </c>
      <c r="E21" s="46">
        <v>4403684</v>
      </c>
      <c r="F21" s="46">
        <v>3116620</v>
      </c>
      <c r="G21" s="46">
        <v>5457624</v>
      </c>
    </row>
    <row r="22" spans="1:7" ht="12.75">
      <c r="A22" s="47" t="s">
        <v>81</v>
      </c>
      <c r="B22" s="42" t="s">
        <v>11</v>
      </c>
      <c r="C22" s="23">
        <v>48.86955119297646</v>
      </c>
      <c r="D22" s="23">
        <v>335.93646040590613</v>
      </c>
      <c r="E22" s="23">
        <v>127.95474042756638</v>
      </c>
      <c r="F22" s="23">
        <v>67.98560654256018</v>
      </c>
      <c r="G22" s="23">
        <v>168.21666907049993</v>
      </c>
    </row>
    <row r="23" spans="1:7" ht="15">
      <c r="A23" s="68" t="s">
        <v>82</v>
      </c>
      <c r="B23" s="42" t="s">
        <v>83</v>
      </c>
      <c r="C23" s="46">
        <v>6814605</v>
      </c>
      <c r="D23" s="46">
        <v>7068863</v>
      </c>
      <c r="E23" s="46">
        <v>7312881</v>
      </c>
      <c r="F23" s="46">
        <v>7574626</v>
      </c>
      <c r="G23" s="46">
        <v>7853428</v>
      </c>
    </row>
  </sheetData>
  <sheetProtection/>
  <mergeCells count="4">
    <mergeCell ref="A3:G3"/>
    <mergeCell ref="A1:A2"/>
    <mergeCell ref="B1:B2"/>
    <mergeCell ref="E2:G2"/>
  </mergeCells>
  <printOptions/>
  <pageMargins left="0.5905511811023623" right="0.1968503937007874" top="0.984251968503937" bottom="0.3937007874015748" header="0.5118110236220472" footer="0.11811023622047245"/>
  <pageSetup firstPageNumber="206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="69" zoomScaleNormal="69" zoomScaleSheetLayoutView="100" zoomScalePageLayoutView="0" workbookViewId="0" topLeftCell="A1">
      <selection activeCell="G19" sqref="G19"/>
    </sheetView>
  </sheetViews>
  <sheetFormatPr defaultColWidth="9.125" defaultRowHeight="12.75"/>
  <cols>
    <col min="1" max="1" width="51.625" style="18" customWidth="1"/>
    <col min="2" max="2" width="9.00390625" style="18" customWidth="1"/>
    <col min="3" max="7" width="15.875" style="18" customWidth="1"/>
    <col min="8" max="9" width="19.125" style="18" customWidth="1"/>
    <col min="10" max="16384" width="9.125" style="18" customWidth="1"/>
  </cols>
  <sheetData>
    <row r="1" spans="1:7" ht="34.5" customHeight="1">
      <c r="A1" s="184" t="s">
        <v>34</v>
      </c>
      <c r="B1" s="184" t="s">
        <v>35</v>
      </c>
      <c r="C1" s="192" t="s">
        <v>36</v>
      </c>
      <c r="D1" s="193"/>
      <c r="E1" s="193"/>
      <c r="F1" s="193"/>
      <c r="G1" s="194"/>
    </row>
    <row r="2" spans="1:7" ht="19.5" customHeight="1">
      <c r="A2" s="184"/>
      <c r="B2" s="184"/>
      <c r="C2" s="184" t="s">
        <v>155</v>
      </c>
      <c r="D2" s="184" t="s">
        <v>156</v>
      </c>
      <c r="E2" s="184" t="s">
        <v>120</v>
      </c>
      <c r="F2" s="184" t="s">
        <v>137</v>
      </c>
      <c r="G2" s="184" t="s">
        <v>157</v>
      </c>
    </row>
    <row r="3" spans="1:7" ht="19.5" customHeight="1">
      <c r="A3" s="184"/>
      <c r="B3" s="184"/>
      <c r="C3" s="184"/>
      <c r="D3" s="184"/>
      <c r="E3" s="184"/>
      <c r="F3" s="184"/>
      <c r="G3" s="184"/>
    </row>
    <row r="4" spans="1:7" ht="37.5" customHeight="1">
      <c r="A4" s="205" t="s">
        <v>112</v>
      </c>
      <c r="B4" s="206"/>
      <c r="C4" s="206"/>
      <c r="D4" s="206"/>
      <c r="E4" s="206"/>
      <c r="F4" s="206"/>
      <c r="G4" s="207"/>
    </row>
    <row r="5" spans="1:9" ht="53.25" customHeight="1">
      <c r="A5" s="31" t="s">
        <v>84</v>
      </c>
      <c r="B5" s="48" t="s">
        <v>85</v>
      </c>
      <c r="C5" s="30">
        <v>184097.44</v>
      </c>
      <c r="D5" s="30">
        <v>194863.965</v>
      </c>
      <c r="E5" s="30">
        <v>207100.125</v>
      </c>
      <c r="F5" s="30">
        <v>221805.896</v>
      </c>
      <c r="G5" s="30">
        <v>238549.636</v>
      </c>
      <c r="H5" s="59"/>
      <c r="I5" s="59"/>
    </row>
    <row r="6" spans="1:8" ht="18" customHeight="1">
      <c r="A6" s="26"/>
      <c r="B6" s="27"/>
      <c r="C6" s="28"/>
      <c r="D6" s="71"/>
      <c r="E6" s="71"/>
      <c r="F6" s="71"/>
      <c r="G6" s="71"/>
      <c r="H6" s="71"/>
    </row>
    <row r="7" spans="3:8" ht="18" customHeight="1">
      <c r="C7" s="60"/>
      <c r="D7" s="72"/>
      <c r="E7" s="72"/>
      <c r="F7" s="72"/>
      <c r="G7" s="72"/>
      <c r="H7" s="73"/>
    </row>
    <row r="8" spans="1:7" ht="34.5" customHeight="1">
      <c r="A8" s="184" t="s">
        <v>34</v>
      </c>
      <c r="B8" s="184" t="s">
        <v>35</v>
      </c>
      <c r="C8" s="192" t="s">
        <v>47</v>
      </c>
      <c r="D8" s="193"/>
      <c r="E8" s="193"/>
      <c r="F8" s="193"/>
      <c r="G8" s="194"/>
    </row>
    <row r="9" spans="1:7" ht="19.5" customHeight="1">
      <c r="A9" s="184"/>
      <c r="B9" s="184"/>
      <c r="C9" s="184" t="s">
        <v>155</v>
      </c>
      <c r="D9" s="184" t="s">
        <v>156</v>
      </c>
      <c r="E9" s="184" t="s">
        <v>120</v>
      </c>
      <c r="F9" s="184" t="s">
        <v>137</v>
      </c>
      <c r="G9" s="184" t="s">
        <v>157</v>
      </c>
    </row>
    <row r="10" spans="1:7" ht="19.5" customHeight="1">
      <c r="A10" s="184"/>
      <c r="B10" s="184"/>
      <c r="C10" s="184"/>
      <c r="D10" s="184"/>
      <c r="E10" s="184"/>
      <c r="F10" s="184"/>
      <c r="G10" s="184"/>
    </row>
    <row r="11" spans="1:7" ht="37.5" customHeight="1">
      <c r="A11" s="205" t="s">
        <v>164</v>
      </c>
      <c r="B11" s="206"/>
      <c r="C11" s="206"/>
      <c r="D11" s="206"/>
      <c r="E11" s="206"/>
      <c r="F11" s="206"/>
      <c r="G11" s="207"/>
    </row>
    <row r="12" spans="1:7" ht="53.25" customHeight="1">
      <c r="A12" s="31" t="s">
        <v>84</v>
      </c>
      <c r="B12" s="48" t="s">
        <v>85</v>
      </c>
      <c r="C12" s="30">
        <v>103671.734</v>
      </c>
      <c r="D12" s="30">
        <v>108688.049</v>
      </c>
      <c r="E12" s="30">
        <v>118671.605</v>
      </c>
      <c r="F12" s="30">
        <v>128027.719</v>
      </c>
      <c r="G12" s="30">
        <v>137818.465</v>
      </c>
    </row>
  </sheetData>
  <sheetProtection/>
  <mergeCells count="18">
    <mergeCell ref="A1:A3"/>
    <mergeCell ref="B1:B3"/>
    <mergeCell ref="C1:G1"/>
    <mergeCell ref="C2:C3"/>
    <mergeCell ref="D2:D3"/>
    <mergeCell ref="E2:E3"/>
    <mergeCell ref="F2:F3"/>
    <mergeCell ref="G2:G3"/>
    <mergeCell ref="A11:G11"/>
    <mergeCell ref="A4:G4"/>
    <mergeCell ref="A8:A10"/>
    <mergeCell ref="B8:B10"/>
    <mergeCell ref="C8:G8"/>
    <mergeCell ref="C9:C10"/>
    <mergeCell ref="D9:D10"/>
    <mergeCell ref="E9:E10"/>
    <mergeCell ref="F9:F10"/>
    <mergeCell ref="G9:G10"/>
  </mergeCells>
  <printOptions horizontalCentered="1"/>
  <pageMargins left="0.2362204724409449" right="0.2362204724409449" top="1.1811023622047245" bottom="0.2755905511811024" header="0.2755905511811024" footer="0.1968503937007874"/>
  <pageSetup firstPageNumber="207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"/>
  <sheetViews>
    <sheetView zoomScale="70" zoomScaleNormal="70" zoomScaleSheetLayoutView="100" zoomScalePageLayoutView="0" workbookViewId="0" topLeftCell="A1">
      <selection activeCell="AA14" sqref="AA14"/>
    </sheetView>
  </sheetViews>
  <sheetFormatPr defaultColWidth="9.00390625" defaultRowHeight="12.75"/>
  <cols>
    <col min="1" max="1" width="17.625" style="0" customWidth="1"/>
    <col min="2" max="2" width="11.875" style="0" customWidth="1"/>
    <col min="3" max="3" width="7.375" style="0" customWidth="1"/>
    <col min="4" max="4" width="8.25390625" style="0" customWidth="1"/>
    <col min="5" max="6" width="7.875" style="0" customWidth="1"/>
    <col min="7" max="7" width="7.25390625" style="0" customWidth="1"/>
    <col min="8" max="8" width="8.25390625" style="0" customWidth="1"/>
    <col min="9" max="10" width="7.625" style="0" customWidth="1"/>
    <col min="11" max="11" width="7.25390625" style="0" customWidth="1"/>
    <col min="12" max="13" width="7.875" style="0" customWidth="1"/>
    <col min="14" max="14" width="8.00390625" style="0" customWidth="1"/>
    <col min="15" max="16" width="7.25390625" style="0" customWidth="1"/>
    <col min="17" max="17" width="7.625" style="0" customWidth="1"/>
    <col min="18" max="18" width="8.25390625" style="0" customWidth="1"/>
    <col min="19" max="19" width="7.75390625" style="0" customWidth="1"/>
    <col min="20" max="20" width="7.25390625" style="0" customWidth="1"/>
    <col min="21" max="22" width="6.25390625" style="0" customWidth="1"/>
    <col min="23" max="23" width="7.25390625" style="0" customWidth="1"/>
    <col min="24" max="26" width="6.25390625" style="0" customWidth="1"/>
  </cols>
  <sheetData>
    <row r="1" spans="1:22" s="146" customFormat="1" ht="33" customHeight="1">
      <c r="A1" s="218" t="s">
        <v>69</v>
      </c>
      <c r="B1" s="221" t="s">
        <v>87</v>
      </c>
      <c r="C1" s="224" t="s">
        <v>88</v>
      </c>
      <c r="D1" s="224"/>
      <c r="E1" s="224"/>
      <c r="F1" s="224"/>
      <c r="G1" s="224"/>
      <c r="H1" s="212" t="s">
        <v>89</v>
      </c>
      <c r="I1" s="213"/>
      <c r="J1" s="213"/>
      <c r="K1" s="213"/>
      <c r="L1" s="213"/>
      <c r="M1" s="212" t="s">
        <v>165</v>
      </c>
      <c r="N1" s="213"/>
      <c r="O1" s="213"/>
      <c r="P1" s="213"/>
      <c r="Q1" s="216"/>
      <c r="R1" s="213" t="s">
        <v>107</v>
      </c>
      <c r="S1" s="213"/>
      <c r="T1" s="213"/>
      <c r="U1" s="213"/>
      <c r="V1" s="213"/>
    </row>
    <row r="2" spans="1:22" s="146" customFormat="1" ht="42" customHeight="1">
      <c r="A2" s="219"/>
      <c r="B2" s="222"/>
      <c r="C2" s="224"/>
      <c r="D2" s="224"/>
      <c r="E2" s="224"/>
      <c r="F2" s="224"/>
      <c r="G2" s="224"/>
      <c r="H2" s="214"/>
      <c r="I2" s="215"/>
      <c r="J2" s="215"/>
      <c r="K2" s="215"/>
      <c r="L2" s="215"/>
      <c r="M2" s="214"/>
      <c r="N2" s="215"/>
      <c r="O2" s="215"/>
      <c r="P2" s="215"/>
      <c r="Q2" s="217"/>
      <c r="R2" s="215"/>
      <c r="S2" s="215"/>
      <c r="T2" s="215"/>
      <c r="U2" s="215"/>
      <c r="V2" s="215"/>
    </row>
    <row r="3" spans="1:22" s="146" customFormat="1" ht="27" customHeight="1">
      <c r="A3" s="219"/>
      <c r="B3" s="222"/>
      <c r="C3" s="147">
        <v>2018</v>
      </c>
      <c r="D3" s="147">
        <v>2019</v>
      </c>
      <c r="E3" s="208" t="s">
        <v>6</v>
      </c>
      <c r="F3" s="208"/>
      <c r="G3" s="208"/>
      <c r="H3" s="147">
        <v>2018</v>
      </c>
      <c r="I3" s="147">
        <v>2019</v>
      </c>
      <c r="J3" s="208" t="s">
        <v>6</v>
      </c>
      <c r="K3" s="208"/>
      <c r="L3" s="208"/>
      <c r="M3" s="147">
        <v>2018</v>
      </c>
      <c r="N3" s="147">
        <v>2019</v>
      </c>
      <c r="O3" s="208" t="s">
        <v>6</v>
      </c>
      <c r="P3" s="208"/>
      <c r="Q3" s="208"/>
      <c r="R3" s="147">
        <v>2018</v>
      </c>
      <c r="S3" s="147">
        <v>2019</v>
      </c>
      <c r="T3" s="208" t="s">
        <v>6</v>
      </c>
      <c r="U3" s="208"/>
      <c r="V3" s="208"/>
    </row>
    <row r="4" spans="1:22" s="146" customFormat="1" ht="27" customHeight="1">
      <c r="A4" s="220"/>
      <c r="B4" s="223"/>
      <c r="C4" s="147" t="s">
        <v>4</v>
      </c>
      <c r="D4" s="147" t="s">
        <v>5</v>
      </c>
      <c r="E4" s="147">
        <v>2020</v>
      </c>
      <c r="F4" s="147">
        <v>2021</v>
      </c>
      <c r="G4" s="147">
        <v>2022</v>
      </c>
      <c r="H4" s="147" t="s">
        <v>4</v>
      </c>
      <c r="I4" s="147" t="s">
        <v>5</v>
      </c>
      <c r="J4" s="147">
        <v>2020</v>
      </c>
      <c r="K4" s="147">
        <v>2021</v>
      </c>
      <c r="L4" s="147">
        <v>2022</v>
      </c>
      <c r="M4" s="147" t="s">
        <v>4</v>
      </c>
      <c r="N4" s="147" t="s">
        <v>5</v>
      </c>
      <c r="O4" s="147">
        <v>2020</v>
      </c>
      <c r="P4" s="147">
        <v>2021</v>
      </c>
      <c r="Q4" s="147">
        <v>2022</v>
      </c>
      <c r="R4" s="147" t="s">
        <v>4</v>
      </c>
      <c r="S4" s="147" t="s">
        <v>5</v>
      </c>
      <c r="T4" s="147">
        <v>2020</v>
      </c>
      <c r="U4" s="147">
        <v>2021</v>
      </c>
      <c r="V4" s="147">
        <v>2022</v>
      </c>
    </row>
    <row r="5" spans="1:22" s="146" customFormat="1" ht="48" customHeight="1">
      <c r="A5" s="209" t="s">
        <v>113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1"/>
    </row>
    <row r="6" spans="1:22" s="146" customFormat="1" ht="128.25" customHeight="1">
      <c r="A6" s="75" t="s">
        <v>166</v>
      </c>
      <c r="B6" s="74" t="s">
        <v>9</v>
      </c>
      <c r="C6" s="74">
        <f>SUM(H6+M6+R6)</f>
        <v>8116.499999999999</v>
      </c>
      <c r="D6" s="74">
        <f>SUM(I6+N6+S6)</f>
        <v>7203.099999999999</v>
      </c>
      <c r="E6" s="74">
        <f>SUM(J6+O6+T6)</f>
        <v>7669.900000000001</v>
      </c>
      <c r="F6" s="74">
        <f>SUM(K6+P6+U6)</f>
        <v>8209.5</v>
      </c>
      <c r="G6" s="74">
        <f>SUM(L6+Q6+V6)</f>
        <v>8778.000000000002</v>
      </c>
      <c r="H6" s="74">
        <v>3287.2</v>
      </c>
      <c r="I6" s="74">
        <v>3026.2</v>
      </c>
      <c r="J6" s="74">
        <v>3428</v>
      </c>
      <c r="K6" s="74">
        <v>3874.4</v>
      </c>
      <c r="L6" s="74">
        <v>4269.3</v>
      </c>
      <c r="M6" s="74">
        <v>4788.9</v>
      </c>
      <c r="N6" s="74">
        <v>4144</v>
      </c>
      <c r="O6" s="74">
        <v>4208.8</v>
      </c>
      <c r="P6" s="74">
        <v>4301.8</v>
      </c>
      <c r="Q6" s="74">
        <v>4475.1</v>
      </c>
      <c r="R6" s="74">
        <v>40.4</v>
      </c>
      <c r="S6" s="74">
        <v>32.9</v>
      </c>
      <c r="T6" s="74">
        <v>33.1</v>
      </c>
      <c r="U6" s="74">
        <v>33.3</v>
      </c>
      <c r="V6" s="74">
        <v>33.6</v>
      </c>
    </row>
  </sheetData>
  <sheetProtection/>
  <mergeCells count="11">
    <mergeCell ref="O3:Q3"/>
    <mergeCell ref="T3:V3"/>
    <mergeCell ref="A5:V5"/>
    <mergeCell ref="H1:L2"/>
    <mergeCell ref="M1:Q2"/>
    <mergeCell ref="R1:V2"/>
    <mergeCell ref="A1:A4"/>
    <mergeCell ref="B1:B4"/>
    <mergeCell ref="C1:G2"/>
    <mergeCell ref="E3:G3"/>
    <mergeCell ref="J3:L3"/>
  </mergeCells>
  <printOptions/>
  <pageMargins left="0.3937007874015748" right="0.1968503937007874" top="1.3779527559055118" bottom="0.2755905511811024" header="0" footer="0"/>
  <pageSetup firstPageNumber="208" useFirstPageNumber="1" fitToHeight="1" fitToWidth="1" horizontalDpi="600" verticalDpi="600" orientation="landscape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zoomScale="75" zoomScaleNormal="75" zoomScaleSheetLayoutView="100" zoomScalePageLayoutView="0" workbookViewId="0" topLeftCell="A1">
      <selection activeCell="U7" sqref="U7"/>
    </sheetView>
  </sheetViews>
  <sheetFormatPr defaultColWidth="9.125" defaultRowHeight="12.75"/>
  <cols>
    <col min="1" max="1" width="4.625" style="61" customWidth="1"/>
    <col min="2" max="2" width="54.625" style="61" customWidth="1"/>
    <col min="3" max="3" width="8.625" style="61" customWidth="1"/>
    <col min="4" max="4" width="10.125" style="61" customWidth="1"/>
    <col min="5" max="5" width="9.875" style="61" customWidth="1"/>
    <col min="6" max="6" width="9.625" style="61" customWidth="1"/>
    <col min="7" max="7" width="9.375" style="61" customWidth="1"/>
    <col min="8" max="8" width="9.875" style="61" customWidth="1"/>
    <col min="9" max="13" width="9.75390625" style="61" customWidth="1"/>
    <col min="14" max="14" width="10.00390625" style="61" customWidth="1"/>
    <col min="15" max="15" width="9.625" style="61" customWidth="1"/>
    <col min="16" max="17" width="9.375" style="61" customWidth="1"/>
    <col min="18" max="18" width="9.625" style="61" customWidth="1"/>
    <col min="19" max="16384" width="9.125" style="61" customWidth="1"/>
  </cols>
  <sheetData>
    <row r="1" spans="1:18" ht="53.25" customHeight="1">
      <c r="A1" s="226" t="s">
        <v>86</v>
      </c>
      <c r="B1" s="226" t="s">
        <v>69</v>
      </c>
      <c r="C1" s="225" t="s">
        <v>87</v>
      </c>
      <c r="D1" s="227" t="s">
        <v>144</v>
      </c>
      <c r="E1" s="228"/>
      <c r="F1" s="228"/>
      <c r="G1" s="228"/>
      <c r="H1" s="229"/>
      <c r="I1" s="233" t="s">
        <v>38</v>
      </c>
      <c r="J1" s="233"/>
      <c r="K1" s="233"/>
      <c r="L1" s="233"/>
      <c r="M1" s="233"/>
      <c r="N1" s="233"/>
      <c r="O1" s="233"/>
      <c r="P1" s="233"/>
      <c r="Q1" s="233"/>
      <c r="R1" s="233"/>
    </row>
    <row r="2" spans="1:18" ht="88.5" customHeight="1">
      <c r="A2" s="226"/>
      <c r="B2" s="226"/>
      <c r="C2" s="225"/>
      <c r="D2" s="230"/>
      <c r="E2" s="231"/>
      <c r="F2" s="231"/>
      <c r="G2" s="231"/>
      <c r="H2" s="232"/>
      <c r="I2" s="226" t="s">
        <v>145</v>
      </c>
      <c r="J2" s="226"/>
      <c r="K2" s="226"/>
      <c r="L2" s="226"/>
      <c r="M2" s="226"/>
      <c r="N2" s="226" t="s">
        <v>146</v>
      </c>
      <c r="O2" s="226"/>
      <c r="P2" s="226"/>
      <c r="Q2" s="226"/>
      <c r="R2" s="226"/>
    </row>
    <row r="3" spans="1:18" ht="27" customHeight="1">
      <c r="A3" s="226"/>
      <c r="B3" s="226"/>
      <c r="C3" s="225"/>
      <c r="D3" s="104">
        <v>2018</v>
      </c>
      <c r="E3" s="104">
        <v>2019</v>
      </c>
      <c r="F3" s="225" t="s">
        <v>6</v>
      </c>
      <c r="G3" s="225"/>
      <c r="H3" s="225"/>
      <c r="I3" s="104">
        <v>2018</v>
      </c>
      <c r="J3" s="104">
        <v>2019</v>
      </c>
      <c r="K3" s="225" t="s">
        <v>6</v>
      </c>
      <c r="L3" s="225"/>
      <c r="M3" s="225"/>
      <c r="N3" s="104">
        <v>2018</v>
      </c>
      <c r="O3" s="104">
        <v>2019</v>
      </c>
      <c r="P3" s="225" t="s">
        <v>6</v>
      </c>
      <c r="Q3" s="225"/>
      <c r="R3" s="225"/>
    </row>
    <row r="4" spans="1:18" ht="42" customHeight="1">
      <c r="A4" s="226"/>
      <c r="B4" s="226"/>
      <c r="C4" s="225"/>
      <c r="D4" s="104" t="s">
        <v>4</v>
      </c>
      <c r="E4" s="104" t="s">
        <v>5</v>
      </c>
      <c r="F4" s="104">
        <v>2020</v>
      </c>
      <c r="G4" s="104">
        <v>2021</v>
      </c>
      <c r="H4" s="104">
        <v>2022</v>
      </c>
      <c r="I4" s="104" t="s">
        <v>4</v>
      </c>
      <c r="J4" s="104" t="s">
        <v>5</v>
      </c>
      <c r="K4" s="104">
        <v>2020</v>
      </c>
      <c r="L4" s="104">
        <v>2021</v>
      </c>
      <c r="M4" s="104">
        <v>2022</v>
      </c>
      <c r="N4" s="104" t="s">
        <v>4</v>
      </c>
      <c r="O4" s="104" t="s">
        <v>5</v>
      </c>
      <c r="P4" s="104">
        <v>2020</v>
      </c>
      <c r="Q4" s="104">
        <v>2021</v>
      </c>
      <c r="R4" s="104">
        <v>2022</v>
      </c>
    </row>
    <row r="5" spans="1:18" ht="63" customHeight="1">
      <c r="A5" s="209" t="s">
        <v>90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1"/>
    </row>
    <row r="6" spans="1:18" ht="73.5" customHeight="1">
      <c r="A6" s="91" t="s">
        <v>108</v>
      </c>
      <c r="B6" s="92" t="s">
        <v>167</v>
      </c>
      <c r="C6" s="93" t="s">
        <v>83</v>
      </c>
      <c r="D6" s="93" t="s">
        <v>109</v>
      </c>
      <c r="E6" s="93" t="s">
        <v>109</v>
      </c>
      <c r="F6" s="93" t="s">
        <v>109</v>
      </c>
      <c r="G6" s="93" t="s">
        <v>109</v>
      </c>
      <c r="H6" s="93" t="s">
        <v>109</v>
      </c>
      <c r="I6" s="94">
        <v>27427453</v>
      </c>
      <c r="J6" s="94">
        <v>27392734</v>
      </c>
      <c r="K6" s="94">
        <v>27410825</v>
      </c>
      <c r="L6" s="94">
        <v>27435744</v>
      </c>
      <c r="M6" s="94">
        <v>27398850</v>
      </c>
      <c r="N6" s="93" t="s">
        <v>109</v>
      </c>
      <c r="O6" s="93" t="s">
        <v>109</v>
      </c>
      <c r="P6" s="93" t="s">
        <v>109</v>
      </c>
      <c r="Q6" s="93" t="s">
        <v>109</v>
      </c>
      <c r="R6" s="93" t="s">
        <v>109</v>
      </c>
    </row>
    <row r="7" spans="1:18" ht="73.5" customHeight="1">
      <c r="A7" s="91" t="s">
        <v>110</v>
      </c>
      <c r="B7" s="92" t="s">
        <v>147</v>
      </c>
      <c r="C7" s="93" t="s">
        <v>83</v>
      </c>
      <c r="D7" s="94">
        <f aca="true" t="shared" si="0" ref="D7:H8">I7+N7</f>
        <v>4940876</v>
      </c>
      <c r="E7" s="94">
        <f t="shared" si="0"/>
        <v>3851839</v>
      </c>
      <c r="F7" s="94">
        <f t="shared" si="0"/>
        <v>3135027</v>
      </c>
      <c r="G7" s="94">
        <f t="shared" si="0"/>
        <v>3549351</v>
      </c>
      <c r="H7" s="94">
        <f t="shared" si="0"/>
        <v>2079276</v>
      </c>
      <c r="I7" s="94">
        <v>4626481</v>
      </c>
      <c r="J7" s="94">
        <v>2321214</v>
      </c>
      <c r="K7" s="94">
        <v>1256390</v>
      </c>
      <c r="L7" s="94">
        <v>1003600</v>
      </c>
      <c r="M7" s="94">
        <v>904132</v>
      </c>
      <c r="N7" s="94">
        <v>314395</v>
      </c>
      <c r="O7" s="94">
        <v>1530625</v>
      </c>
      <c r="P7" s="94">
        <v>1878637</v>
      </c>
      <c r="Q7" s="94">
        <v>2545751</v>
      </c>
      <c r="R7" s="94">
        <v>1175144</v>
      </c>
    </row>
    <row r="8" spans="1:18" ht="73.5" customHeight="1">
      <c r="A8" s="91" t="s">
        <v>111</v>
      </c>
      <c r="B8" s="92" t="s">
        <v>168</v>
      </c>
      <c r="C8" s="93" t="s">
        <v>83</v>
      </c>
      <c r="D8" s="94">
        <f t="shared" si="0"/>
        <v>63406240</v>
      </c>
      <c r="E8" s="94">
        <f t="shared" si="0"/>
        <v>65904384</v>
      </c>
      <c r="F8" s="94">
        <f t="shared" si="0"/>
        <v>68858207</v>
      </c>
      <c r="G8" s="94">
        <f t="shared" si="0"/>
        <v>72106776</v>
      </c>
      <c r="H8" s="94">
        <f t="shared" si="0"/>
        <v>73886134</v>
      </c>
      <c r="I8" s="94">
        <v>44491300</v>
      </c>
      <c r="J8" s="94">
        <v>45505034</v>
      </c>
      <c r="K8" s="94">
        <v>46659637</v>
      </c>
      <c r="L8" s="94">
        <v>47440317</v>
      </c>
      <c r="M8" s="94">
        <v>48073959</v>
      </c>
      <c r="N8" s="94">
        <v>18914940</v>
      </c>
      <c r="O8" s="94">
        <v>20399350</v>
      </c>
      <c r="P8" s="94">
        <v>22198570</v>
      </c>
      <c r="Q8" s="94">
        <v>24666459</v>
      </c>
      <c r="R8" s="94">
        <v>25812175</v>
      </c>
    </row>
  </sheetData>
  <sheetProtection/>
  <mergeCells count="11">
    <mergeCell ref="N2:R2"/>
    <mergeCell ref="F3:H3"/>
    <mergeCell ref="K3:M3"/>
    <mergeCell ref="P3:R3"/>
    <mergeCell ref="A5:R5"/>
    <mergeCell ref="A1:A4"/>
    <mergeCell ref="B1:B4"/>
    <mergeCell ref="C1:C4"/>
    <mergeCell ref="D1:H2"/>
    <mergeCell ref="I1:R1"/>
    <mergeCell ref="I2:M2"/>
  </mergeCells>
  <printOptions/>
  <pageMargins left="0.984251968503937" right="0.5905511811023623" top="1.1811023622047245" bottom="0.2755905511811024" header="0.15748031496062992" footer="0.15748031496062992"/>
  <pageSetup firstPageNumber="209" useFirstPageNumber="1" fitToHeight="1" fitToWidth="1" horizontalDpi="600" verticalDpi="600" orientation="landscape" paperSize="9" scale="6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84" zoomScaleNormal="84" zoomScaleSheetLayoutView="100" zoomScalePageLayoutView="0" workbookViewId="0" topLeftCell="A16">
      <selection activeCell="A42" sqref="A42"/>
    </sheetView>
  </sheetViews>
  <sheetFormatPr defaultColWidth="9.125" defaultRowHeight="12.75"/>
  <cols>
    <col min="1" max="1" width="51.625" style="18" customWidth="1"/>
    <col min="2" max="2" width="9.00390625" style="18" customWidth="1"/>
    <col min="3" max="7" width="15.625" style="18" customWidth="1"/>
    <col min="8" max="16384" width="9.125" style="18" customWidth="1"/>
  </cols>
  <sheetData>
    <row r="1" spans="1:7" ht="29.25" customHeight="1">
      <c r="A1" s="184" t="s">
        <v>34</v>
      </c>
      <c r="B1" s="184" t="s">
        <v>35</v>
      </c>
      <c r="C1" s="240" t="s">
        <v>140</v>
      </c>
      <c r="D1" s="241"/>
      <c r="E1" s="241"/>
      <c r="F1" s="241"/>
      <c r="G1" s="242"/>
    </row>
    <row r="2" spans="1:7" ht="13.5" customHeight="1">
      <c r="A2" s="184"/>
      <c r="B2" s="184"/>
      <c r="C2" s="184" t="s">
        <v>155</v>
      </c>
      <c r="D2" s="184" t="s">
        <v>156</v>
      </c>
      <c r="E2" s="184" t="s">
        <v>120</v>
      </c>
      <c r="F2" s="184" t="s">
        <v>137</v>
      </c>
      <c r="G2" s="184" t="s">
        <v>169</v>
      </c>
    </row>
    <row r="3" spans="1:7" ht="12.75" customHeight="1">
      <c r="A3" s="184"/>
      <c r="B3" s="184"/>
      <c r="C3" s="184"/>
      <c r="D3" s="184"/>
      <c r="E3" s="184"/>
      <c r="F3" s="184"/>
      <c r="G3" s="184"/>
    </row>
    <row r="4" spans="1:7" ht="29.25" customHeight="1">
      <c r="A4" s="234" t="s">
        <v>114</v>
      </c>
      <c r="B4" s="235"/>
      <c r="C4" s="235"/>
      <c r="D4" s="235"/>
      <c r="E4" s="235"/>
      <c r="F4" s="235"/>
      <c r="G4" s="236"/>
    </row>
    <row r="5" spans="1:7" ht="29.25" customHeight="1">
      <c r="A5" s="24" t="s">
        <v>93</v>
      </c>
      <c r="B5" s="49" t="s">
        <v>83</v>
      </c>
      <c r="C5" s="23">
        <v>183297.8</v>
      </c>
      <c r="D5" s="23">
        <v>190016.6</v>
      </c>
      <c r="E5" s="23">
        <v>197062.6</v>
      </c>
      <c r="F5" s="23">
        <v>205351.7</v>
      </c>
      <c r="G5" s="23">
        <v>214664.5</v>
      </c>
    </row>
    <row r="6" spans="1:7" ht="13.5" customHeight="1">
      <c r="A6" s="24" t="s">
        <v>10</v>
      </c>
      <c r="B6" s="49" t="s">
        <v>11</v>
      </c>
      <c r="C6" s="23">
        <f>C5/173000/1.006*100</f>
        <v>105.32056217607648</v>
      </c>
      <c r="D6" s="23">
        <f>D5/C5/1.035*100</f>
        <v>100.15991347108158</v>
      </c>
      <c r="E6" s="23">
        <f>E5/D5/1.032*100</f>
        <v>100.49234213376394</v>
      </c>
      <c r="F6" s="23">
        <f>F5/E5/1.034*100</f>
        <v>100.77981464641597</v>
      </c>
      <c r="G6" s="23">
        <f>G5/F5/1.036*100</f>
        <v>100.90255684765006</v>
      </c>
    </row>
    <row r="7" spans="1:7" ht="29.25" customHeight="1">
      <c r="A7" s="24" t="s">
        <v>94</v>
      </c>
      <c r="B7" s="49" t="s">
        <v>83</v>
      </c>
      <c r="C7" s="23"/>
      <c r="D7" s="23"/>
      <c r="E7" s="23"/>
      <c r="F7" s="23"/>
      <c r="G7" s="23"/>
    </row>
    <row r="8" spans="1:7" ht="14.25" customHeight="1">
      <c r="A8" s="95" t="s">
        <v>10</v>
      </c>
      <c r="B8" s="25" t="s">
        <v>11</v>
      </c>
      <c r="C8" s="96"/>
      <c r="D8" s="97"/>
      <c r="E8" s="98"/>
      <c r="F8" s="98"/>
      <c r="G8" s="98"/>
    </row>
    <row r="9" spans="1:7" ht="29.25" customHeight="1">
      <c r="A9" s="24" t="s">
        <v>95</v>
      </c>
      <c r="B9" s="49" t="s">
        <v>17</v>
      </c>
      <c r="C9" s="24"/>
      <c r="D9" s="24"/>
      <c r="E9" s="24"/>
      <c r="F9" s="24"/>
      <c r="G9" s="24"/>
    </row>
    <row r="10" spans="1:7" ht="29.25" customHeight="1">
      <c r="A10" s="24" t="s">
        <v>96</v>
      </c>
      <c r="B10" s="25" t="s">
        <v>83</v>
      </c>
      <c r="C10" s="24"/>
      <c r="D10" s="24"/>
      <c r="E10" s="24"/>
      <c r="F10" s="24"/>
      <c r="G10" s="24"/>
    </row>
    <row r="11" spans="1:7" ht="14.25" customHeight="1">
      <c r="A11" s="95" t="s">
        <v>97</v>
      </c>
      <c r="B11" s="25" t="s">
        <v>23</v>
      </c>
      <c r="C11" s="96"/>
      <c r="D11" s="97"/>
      <c r="E11" s="98"/>
      <c r="F11" s="98"/>
      <c r="G11" s="98"/>
    </row>
    <row r="12" spans="1:7" ht="29.25" customHeight="1">
      <c r="A12" s="237" t="s">
        <v>98</v>
      </c>
      <c r="B12" s="238"/>
      <c r="C12" s="238"/>
      <c r="D12" s="238"/>
      <c r="E12" s="238"/>
      <c r="F12" s="238"/>
      <c r="G12" s="239"/>
    </row>
    <row r="13" spans="1:7" ht="29.25" customHeight="1">
      <c r="A13" s="95" t="s">
        <v>44</v>
      </c>
      <c r="B13" s="25" t="s">
        <v>83</v>
      </c>
      <c r="C13" s="96"/>
      <c r="D13" s="97"/>
      <c r="E13" s="98"/>
      <c r="F13" s="98"/>
      <c r="G13" s="98"/>
    </row>
    <row r="14" spans="1:7" ht="14.25" customHeight="1">
      <c r="A14" s="95" t="s">
        <v>99</v>
      </c>
      <c r="B14" s="25" t="s">
        <v>83</v>
      </c>
      <c r="C14" s="96"/>
      <c r="D14" s="97"/>
      <c r="E14" s="98"/>
      <c r="F14" s="98"/>
      <c r="G14" s="98"/>
    </row>
    <row r="15" spans="1:7" ht="14.25" customHeight="1">
      <c r="A15" s="95" t="s">
        <v>100</v>
      </c>
      <c r="B15" s="25" t="s">
        <v>83</v>
      </c>
      <c r="C15" s="96"/>
      <c r="D15" s="97"/>
      <c r="E15" s="98"/>
      <c r="F15" s="98"/>
      <c r="G15" s="98"/>
    </row>
    <row r="16" spans="1:7" ht="29.25" customHeight="1">
      <c r="A16" s="95" t="s">
        <v>101</v>
      </c>
      <c r="B16" s="25" t="s">
        <v>83</v>
      </c>
      <c r="C16" s="96"/>
      <c r="D16" s="97"/>
      <c r="E16" s="98"/>
      <c r="F16" s="98"/>
      <c r="G16" s="98"/>
    </row>
    <row r="17" spans="1:7" ht="14.25" customHeight="1">
      <c r="A17" s="95" t="s">
        <v>102</v>
      </c>
      <c r="B17" s="25" t="s">
        <v>83</v>
      </c>
      <c r="C17" s="96"/>
      <c r="D17" s="97"/>
      <c r="E17" s="98"/>
      <c r="F17" s="98"/>
      <c r="G17" s="98"/>
    </row>
    <row r="18" spans="1:7" ht="14.25" customHeight="1">
      <c r="A18" s="95" t="s">
        <v>103</v>
      </c>
      <c r="B18" s="25" t="s">
        <v>83</v>
      </c>
      <c r="C18" s="96"/>
      <c r="D18" s="97"/>
      <c r="E18" s="98"/>
      <c r="F18" s="98"/>
      <c r="G18" s="98"/>
    </row>
    <row r="19" spans="1:7" ht="14.25" customHeight="1">
      <c r="A19" s="95" t="s">
        <v>45</v>
      </c>
      <c r="B19" s="25" t="s">
        <v>83</v>
      </c>
      <c r="C19" s="96"/>
      <c r="D19" s="97"/>
      <c r="E19" s="98"/>
      <c r="F19" s="98"/>
      <c r="G19" s="98"/>
    </row>
    <row r="20" spans="1:7" ht="29.25" customHeight="1">
      <c r="A20" s="95" t="s">
        <v>104</v>
      </c>
      <c r="B20" s="25" t="s">
        <v>37</v>
      </c>
      <c r="C20" s="96"/>
      <c r="D20" s="97"/>
      <c r="E20" s="98"/>
      <c r="F20" s="98"/>
      <c r="G20" s="98"/>
    </row>
    <row r="21" spans="1:7" ht="14.25" customHeight="1">
      <c r="A21" s="95" t="s">
        <v>46</v>
      </c>
      <c r="B21" s="25" t="s">
        <v>83</v>
      </c>
      <c r="C21" s="96"/>
      <c r="D21" s="97"/>
      <c r="E21" s="98"/>
      <c r="F21" s="98"/>
      <c r="G21" s="98"/>
    </row>
    <row r="22" spans="1:7" ht="14.25" customHeight="1">
      <c r="A22" s="95" t="s">
        <v>105</v>
      </c>
      <c r="B22" s="25" t="s">
        <v>33</v>
      </c>
      <c r="C22" s="96"/>
      <c r="D22" s="97"/>
      <c r="E22" s="98"/>
      <c r="F22" s="98"/>
      <c r="G22" s="98"/>
    </row>
    <row r="23" spans="1:7" ht="14.25" customHeight="1">
      <c r="A23" s="95" t="s">
        <v>106</v>
      </c>
      <c r="B23" s="25" t="s">
        <v>33</v>
      </c>
      <c r="C23" s="96"/>
      <c r="D23" s="97"/>
      <c r="E23" s="98"/>
      <c r="F23" s="98"/>
      <c r="G23" s="98"/>
    </row>
    <row r="24" spans="1:7" ht="14.25" customHeight="1">
      <c r="A24" s="99" t="s">
        <v>148</v>
      </c>
      <c r="B24" s="25"/>
      <c r="C24" s="96"/>
      <c r="D24" s="97"/>
      <c r="E24" s="98"/>
      <c r="F24" s="98"/>
      <c r="G24" s="98"/>
    </row>
    <row r="25" spans="1:7" ht="14.25" customHeight="1">
      <c r="A25" s="95" t="s">
        <v>149</v>
      </c>
      <c r="B25" s="25" t="s">
        <v>33</v>
      </c>
      <c r="C25" s="96"/>
      <c r="D25" s="97"/>
      <c r="E25" s="98"/>
      <c r="F25" s="98"/>
      <c r="G25" s="98"/>
    </row>
    <row r="26" spans="1:7" ht="14.25" customHeight="1">
      <c r="A26" s="95" t="s">
        <v>150</v>
      </c>
      <c r="B26" s="25" t="s">
        <v>11</v>
      </c>
      <c r="C26" s="96"/>
      <c r="D26" s="97"/>
      <c r="E26" s="98"/>
      <c r="F26" s="98"/>
      <c r="G26" s="98"/>
    </row>
    <row r="27" spans="1:7" ht="14.25" customHeight="1">
      <c r="A27" s="95" t="s">
        <v>151</v>
      </c>
      <c r="B27" s="25" t="s">
        <v>11</v>
      </c>
      <c r="C27" s="96"/>
      <c r="D27" s="97"/>
      <c r="E27" s="98"/>
      <c r="F27" s="98"/>
      <c r="G27" s="98"/>
    </row>
    <row r="28" spans="1:7" ht="29.25" customHeight="1">
      <c r="A28" s="148"/>
      <c r="B28" s="149"/>
      <c r="C28" s="150"/>
      <c r="E28" s="151"/>
      <c r="F28" s="151"/>
      <c r="G28" s="151"/>
    </row>
    <row r="29" ht="29.25" customHeight="1">
      <c r="A29" s="18" t="s">
        <v>115</v>
      </c>
    </row>
    <row r="30" ht="29.25" customHeight="1"/>
    <row r="31" ht="29.25" customHeight="1"/>
  </sheetData>
  <sheetProtection/>
  <mergeCells count="10">
    <mergeCell ref="A4:G4"/>
    <mergeCell ref="A12:G12"/>
    <mergeCell ref="A1:A3"/>
    <mergeCell ref="B1:B3"/>
    <mergeCell ref="C1:G1"/>
    <mergeCell ref="C2:C3"/>
    <mergeCell ref="D2:D3"/>
    <mergeCell ref="E2:E3"/>
    <mergeCell ref="F2:F3"/>
    <mergeCell ref="G2:G3"/>
  </mergeCells>
  <printOptions horizontalCentered="1"/>
  <pageMargins left="0.4330708661417323" right="0.2362204724409449" top="0.984251968503937" bottom="0.2755905511811024" header="0.2755905511811024" footer="0.1968503937007874"/>
  <pageSetup firstPageNumber="210" useFirstPageNumber="1" fitToHeight="1" fitToWidth="1" horizontalDpi="600" verticalDpi="600" orientation="landscape" paperSize="9" scale="87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2019-11-14T11:27:51Z</cp:lastPrinted>
  <dcterms:created xsi:type="dcterms:W3CDTF">2015-08-05T09:55:36Z</dcterms:created>
  <dcterms:modified xsi:type="dcterms:W3CDTF">2019-11-14T11:27:59Z</dcterms:modified>
  <cp:category/>
  <cp:version/>
  <cp:contentType/>
  <cp:contentStatus/>
</cp:coreProperties>
</file>